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ata\investments\PycharmProjects\Investments\"/>
    </mc:Choice>
  </mc:AlternateContent>
  <xr:revisionPtr revIDLastSave="0" documentId="13_ncr:1_{BF92676D-7A05-47C9-96AC-62679D94E951}" xr6:coauthVersionLast="47" xr6:coauthVersionMax="47" xr10:uidLastSave="{00000000-0000-0000-0000-000000000000}"/>
  <bookViews>
    <workbookView xWindow="57480" yWindow="-120" windowWidth="29040" windowHeight="15720" tabRatio="799" activeTab="2" xr2:uid="{00000000-000D-0000-FFFF-FFFF00000000}"/>
  </bookViews>
  <sheets>
    <sheet name="4-EW" sheetId="110" r:id="rId1"/>
    <sheet name="4-VW" sheetId="58" r:id="rId2"/>
    <sheet name="5-Variance" sheetId="111" r:id="rId3"/>
    <sheet name="5-Harley" sheetId="71" r:id="rId4"/>
    <sheet name="7-Cov1" sheetId="2" r:id="rId5"/>
    <sheet name="7-Var" sheetId="83" r:id="rId6"/>
    <sheet name="7-Reg1" sheetId="4" r:id="rId7"/>
    <sheet name="7-Reg2" sheetId="5" r:id="rId8"/>
    <sheet name="7-Reg3" sheetId="7" r:id="rId9"/>
    <sheet name="7-Reg4" sheetId="8" r:id="rId10"/>
    <sheet name="7-alpha_beta" sheetId="70" r:id="rId11"/>
    <sheet name="7-Reg5" sheetId="11" r:id="rId12"/>
    <sheet name="8-Var1" sheetId="76" r:id="rId13"/>
    <sheet name="8-Efficient Frontier" sheetId="17" r:id="rId14"/>
    <sheet name="8-active portfolio" sheetId="93" r:id="rId15"/>
    <sheet name="8-alpha" sheetId="14" r:id="rId16"/>
    <sheet name="8-Var2" sheetId="77" r:id="rId17"/>
    <sheet name="8-Rate of Change" sheetId="80" r:id="rId18"/>
    <sheet name="9-1 firm" sheetId="66" r:id="rId19"/>
    <sheet name="9-5000 firms" sheetId="65" r:id="rId20"/>
    <sheet name="9-Systematic_Risk" sheetId="84" r:id="rId21"/>
    <sheet name="9-Alpha" sheetId="86" r:id="rId22"/>
    <sheet name="10-CAPM" sheetId="85" r:id="rId23"/>
    <sheet name="10-Out of Sample" sheetId="105" r:id="rId24"/>
    <sheet name="10-Spanning Test" sheetId="103" r:id="rId25"/>
    <sheet name="10-Zero Cost I" sheetId="106" r:id="rId26"/>
    <sheet name="10-Zero Cost II" sheetId="108" r:id="rId27"/>
    <sheet name="10-SMB" sheetId="88" r:id="rId28"/>
    <sheet name="10-T-weights5" sheetId="89" r:id="rId29"/>
    <sheet name="10-alphas5" sheetId="90" r:id="rId30"/>
    <sheet name="10-alpha test" sheetId="109" r:id="rId31"/>
    <sheet name="10-Diversify" sheetId="73" r:id="rId32"/>
    <sheet name="10-Diversify2" sheetId="27" r:id="rId33"/>
    <sheet name="11-CAPM Anom" sheetId="82" r:id="rId34"/>
    <sheet name="13-Accounting" sheetId="97" r:id="rId35"/>
    <sheet name="13-FCFF vs FCFE" sheetId="101" r:id="rId36"/>
    <sheet name="13-Consensus Model" sheetId="98" r:id="rId37"/>
    <sheet name="13-Thesis Model" sheetId="99" r:id="rId38"/>
    <sheet name="13-Summary" sheetId="102" r:id="rId39"/>
    <sheet name="14-alpha and leverage" sheetId="114" r:id="rId40"/>
    <sheet name="14-measuring active risk" sheetId="116" r:id="rId41"/>
    <sheet name="14-scaling h and active risk" sheetId="123" r:id="rId42"/>
    <sheet name="14-scaling h and IR" sheetId="124" r:id="rId43"/>
    <sheet name="14-Maximizing IR1" sheetId="125" r:id="rId44"/>
    <sheet name="14-Maximizing IR" sheetId="117" r:id="rId45"/>
    <sheet name="14-Maximizing IR with ETF" sheetId="126" r:id="rId46"/>
    <sheet name="15-butterfly" sheetId="59" r:id="rId47"/>
    <sheet name="16-Debt Value" sheetId="61" r:id="rId48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2" hidden="1">'10-CAPM'!$F$12</definedName>
    <definedName name="solver_adj" localSheetId="23" hidden="1">'10-Out of Sample'!$E$13</definedName>
    <definedName name="solver_adj" localSheetId="27" hidden="1">'10-SMB'!$H$12</definedName>
    <definedName name="solver_adj" localSheetId="24" hidden="1">'10-Spanning Test'!$G$13</definedName>
    <definedName name="solver_adj" localSheetId="28" hidden="1">'10-T-weights5'!$K$15:$N$15</definedName>
    <definedName name="solver_adj" localSheetId="25" hidden="1">'10-Zero Cost I'!$I$15</definedName>
    <definedName name="solver_adj" localSheetId="26" hidden="1">'10-Zero Cost II'!$H$13</definedName>
    <definedName name="solver_adj" localSheetId="33" hidden="1">'11-CAPM Anom'!$H$8:$I$8</definedName>
    <definedName name="solver_adj" localSheetId="36" hidden="1">'13-Consensus Model'!$S$22</definedName>
    <definedName name="solver_adj" localSheetId="37" hidden="1">'13-Thesis Model'!$S$22</definedName>
    <definedName name="solver_adj" localSheetId="44" hidden="1">'14-Maximizing IR'!$B$22:$J$22</definedName>
    <definedName name="solver_adj" localSheetId="43" hidden="1">'14-Maximizing IR1'!$B$14:$E$14</definedName>
    <definedName name="solver_adj" localSheetId="47" hidden="1">'16-Debt Value'!$C$8</definedName>
    <definedName name="solver_adj" localSheetId="5" hidden="1">'7-Var'!$C$37:$C$62</definedName>
    <definedName name="solver_adj" localSheetId="14" hidden="1">'8-active portfolio'!$C$13:$E$13</definedName>
    <definedName name="solver_adj" localSheetId="15" hidden="1">'8-alpha'!$G$42</definedName>
    <definedName name="solver_adj" localSheetId="16" hidden="1">'8-Var2'!$B$16:$C$16</definedName>
    <definedName name="solver_cvg" localSheetId="22" hidden="1">0.0001</definedName>
    <definedName name="solver_cvg" localSheetId="23" hidden="1">0.0001</definedName>
    <definedName name="solver_cvg" localSheetId="27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6" hidden="1">0.0001</definedName>
    <definedName name="solver_cvg" localSheetId="33" hidden="1">0.0001</definedName>
    <definedName name="solver_cvg" localSheetId="36" hidden="1">0.0001</definedName>
    <definedName name="solver_cvg" localSheetId="37" hidden="1">0.0001</definedName>
    <definedName name="solver_cvg" localSheetId="44" hidden="1">0.0001</definedName>
    <definedName name="solver_cvg" localSheetId="43" hidden="1">0.0001</definedName>
    <definedName name="solver_cvg" localSheetId="47" hidden="1">0.0001</definedName>
    <definedName name="solver_cvg" localSheetId="5" hidden="1">0.0001</definedName>
    <definedName name="solver_cvg" localSheetId="14" hidden="1">0.0001</definedName>
    <definedName name="solver_cvg" localSheetId="15" hidden="1">0.0001</definedName>
    <definedName name="solver_cvg" localSheetId="13" hidden="1">0.0001</definedName>
    <definedName name="solver_cvg" localSheetId="16" hidden="1">0.0001</definedName>
    <definedName name="solver_drv" localSheetId="22" hidden="1">1</definedName>
    <definedName name="solver_drv" localSheetId="23" hidden="1">1</definedName>
    <definedName name="solver_drv" localSheetId="27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6" hidden="1">1</definedName>
    <definedName name="solver_drv" localSheetId="33" hidden="1">1</definedName>
    <definedName name="solver_drv" localSheetId="36" hidden="1">1</definedName>
    <definedName name="solver_drv" localSheetId="37" hidden="1">1</definedName>
    <definedName name="solver_drv" localSheetId="44" hidden="1">2</definedName>
    <definedName name="solver_drv" localSheetId="43" hidden="1">2</definedName>
    <definedName name="solver_drv" localSheetId="47" hidden="1">1</definedName>
    <definedName name="solver_drv" localSheetId="5" hidden="1">1</definedName>
    <definedName name="solver_drv" localSheetId="14" hidden="1">1</definedName>
    <definedName name="solver_drv" localSheetId="15" hidden="1">1</definedName>
    <definedName name="solver_drv" localSheetId="13" hidden="1">1</definedName>
    <definedName name="solver_drv" localSheetId="16" hidden="1">1</definedName>
    <definedName name="solver_eng" localSheetId="30" hidden="1">1</definedName>
    <definedName name="solver_eng" localSheetId="29" hidden="1">1</definedName>
    <definedName name="solver_eng" localSheetId="22" hidden="1">1</definedName>
    <definedName name="solver_eng" localSheetId="23" hidden="1">1</definedName>
    <definedName name="solver_eng" localSheetId="27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6" hidden="1">1</definedName>
    <definedName name="solver_eng" localSheetId="33" hidden="1">1</definedName>
    <definedName name="solver_eng" localSheetId="36" hidden="1">1</definedName>
    <definedName name="solver_eng" localSheetId="37" hidden="1">1</definedName>
    <definedName name="solver_eng" localSheetId="44" hidden="1">1</definedName>
    <definedName name="solver_eng" localSheetId="43" hidden="1">1</definedName>
    <definedName name="solver_eng" localSheetId="47" hidden="1">1</definedName>
    <definedName name="solver_eng" localSheetId="5" hidden="1">1</definedName>
    <definedName name="solver_eng" localSheetId="14" hidden="1">1</definedName>
    <definedName name="solver_eng" localSheetId="15" hidden="1">1</definedName>
    <definedName name="solver_eng" localSheetId="13" hidden="1">1</definedName>
    <definedName name="solver_eng" localSheetId="16" hidden="1">1</definedName>
    <definedName name="solver_est" localSheetId="22" hidden="1">1</definedName>
    <definedName name="solver_est" localSheetId="23" hidden="1">1</definedName>
    <definedName name="solver_est" localSheetId="27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6" hidden="1">1</definedName>
    <definedName name="solver_est" localSheetId="33" hidden="1">1</definedName>
    <definedName name="solver_est" localSheetId="36" hidden="1">1</definedName>
    <definedName name="solver_est" localSheetId="37" hidden="1">1</definedName>
    <definedName name="solver_est" localSheetId="44" hidden="1">1</definedName>
    <definedName name="solver_est" localSheetId="43" hidden="1">1</definedName>
    <definedName name="solver_est" localSheetId="47" hidden="1">1</definedName>
    <definedName name="solver_est" localSheetId="5" hidden="1">1</definedName>
    <definedName name="solver_est" localSheetId="14" hidden="1">1</definedName>
    <definedName name="solver_est" localSheetId="15" hidden="1">1</definedName>
    <definedName name="solver_est" localSheetId="13" hidden="1">1</definedName>
    <definedName name="solver_est" localSheetId="16" hidden="1">1</definedName>
    <definedName name="solver_itr" localSheetId="22" hidden="1">2147483647</definedName>
    <definedName name="solver_itr" localSheetId="23" hidden="1">2147483647</definedName>
    <definedName name="solver_itr" localSheetId="27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6" hidden="1">2147483647</definedName>
    <definedName name="solver_itr" localSheetId="33" hidden="1">2147483647</definedName>
    <definedName name="solver_itr" localSheetId="36" hidden="1">2147483647</definedName>
    <definedName name="solver_itr" localSheetId="37" hidden="1">2147483647</definedName>
    <definedName name="solver_itr" localSheetId="44" hidden="1">2147483647</definedName>
    <definedName name="solver_itr" localSheetId="43" hidden="1">2147483647</definedName>
    <definedName name="solver_itr" localSheetId="47" hidden="1">2147483647</definedName>
    <definedName name="solver_itr" localSheetId="5" hidden="1">2147483647</definedName>
    <definedName name="solver_itr" localSheetId="14" hidden="1">2147483647</definedName>
    <definedName name="solver_itr" localSheetId="15" hidden="1">2147483647</definedName>
    <definedName name="solver_itr" localSheetId="13" hidden="1">2147483647</definedName>
    <definedName name="solver_itr" localSheetId="16" hidden="1">2147483647</definedName>
    <definedName name="solver_lhs1" localSheetId="28" hidden="1">'10-T-weights5'!$J$15</definedName>
    <definedName name="solver_lhs1" localSheetId="44" hidden="1">'14-Maximizing IR'!$B$43</definedName>
    <definedName name="solver_lhs1" localSheetId="43" hidden="1">'14-Maximizing IR1'!$H$14</definedName>
    <definedName name="solver_lhs1" localSheetId="5" hidden="1">'7-Var'!$B$64</definedName>
    <definedName name="solver_lhs1" localSheetId="14" hidden="1">'8-active portfolio'!$B$16</definedName>
    <definedName name="solver_lhs1" localSheetId="13" hidden="1">'8-Efficient Frontier'!$E$27</definedName>
    <definedName name="solver_lhs2" localSheetId="44" hidden="1">'14-Maximizing IR'!$C$41</definedName>
    <definedName name="solver_lhs2" localSheetId="5" hidden="1">'7-Var'!$B$65</definedName>
    <definedName name="solver_lhs3" localSheetId="44" hidden="1">'14-Maximizing IR'!$I$25</definedName>
    <definedName name="solver_lhs3" localSheetId="5" hidden="1">'7-Var'!$C$64</definedName>
    <definedName name="solver_lhs4" localSheetId="5" hidden="1">'7-Var'!$C$65</definedName>
    <definedName name="solver_mip" localSheetId="22" hidden="1">2147483647</definedName>
    <definedName name="solver_mip" localSheetId="23" hidden="1">2147483647</definedName>
    <definedName name="solver_mip" localSheetId="27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6" hidden="1">2147483647</definedName>
    <definedName name="solver_mip" localSheetId="33" hidden="1">2147483647</definedName>
    <definedName name="solver_mip" localSheetId="36" hidden="1">2147483647</definedName>
    <definedName name="solver_mip" localSheetId="37" hidden="1">2147483647</definedName>
    <definedName name="solver_mip" localSheetId="44" hidden="1">2147483647</definedName>
    <definedName name="solver_mip" localSheetId="43" hidden="1">2147483647</definedName>
    <definedName name="solver_mip" localSheetId="47" hidden="1">2147483647</definedName>
    <definedName name="solver_mip" localSheetId="5" hidden="1">2147483647</definedName>
    <definedName name="solver_mip" localSheetId="14" hidden="1">2147483647</definedName>
    <definedName name="solver_mip" localSheetId="15" hidden="1">2147483647</definedName>
    <definedName name="solver_mip" localSheetId="13" hidden="1">2147483647</definedName>
    <definedName name="solver_mip" localSheetId="16" hidden="1">2147483647</definedName>
    <definedName name="solver_mni" localSheetId="22" hidden="1">30</definedName>
    <definedName name="solver_mni" localSheetId="23" hidden="1">30</definedName>
    <definedName name="solver_mni" localSheetId="27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6" hidden="1">30</definedName>
    <definedName name="solver_mni" localSheetId="33" hidden="1">30</definedName>
    <definedName name="solver_mni" localSheetId="36" hidden="1">30</definedName>
    <definedName name="solver_mni" localSheetId="37" hidden="1">30</definedName>
    <definedName name="solver_mni" localSheetId="44" hidden="1">30</definedName>
    <definedName name="solver_mni" localSheetId="43" hidden="1">30</definedName>
    <definedName name="solver_mni" localSheetId="47" hidden="1">30</definedName>
    <definedName name="solver_mni" localSheetId="5" hidden="1">30</definedName>
    <definedName name="solver_mni" localSheetId="14" hidden="1">30</definedName>
    <definedName name="solver_mni" localSheetId="15" hidden="1">30</definedName>
    <definedName name="solver_mni" localSheetId="13" hidden="1">30</definedName>
    <definedName name="solver_mni" localSheetId="16" hidden="1">30</definedName>
    <definedName name="solver_mrt" localSheetId="22" hidden="1">0.075</definedName>
    <definedName name="solver_mrt" localSheetId="23" hidden="1">0.075</definedName>
    <definedName name="solver_mrt" localSheetId="27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6" hidden="1">0.075</definedName>
    <definedName name="solver_mrt" localSheetId="33" hidden="1">0.075</definedName>
    <definedName name="solver_mrt" localSheetId="36" hidden="1">0.075</definedName>
    <definedName name="solver_mrt" localSheetId="37" hidden="1">0.075</definedName>
    <definedName name="solver_mrt" localSheetId="44" hidden="1">0.075</definedName>
    <definedName name="solver_mrt" localSheetId="43" hidden="1">0.075</definedName>
    <definedName name="solver_mrt" localSheetId="47" hidden="1">0.075</definedName>
    <definedName name="solver_mrt" localSheetId="5" hidden="1">0.075</definedName>
    <definedName name="solver_mrt" localSheetId="14" hidden="1">0.075</definedName>
    <definedName name="solver_mrt" localSheetId="15" hidden="1">0.075</definedName>
    <definedName name="solver_mrt" localSheetId="13" hidden="1">0.075</definedName>
    <definedName name="solver_mrt" localSheetId="16" hidden="1">0.075</definedName>
    <definedName name="solver_msl" localSheetId="22" hidden="1">2</definedName>
    <definedName name="solver_msl" localSheetId="23" hidden="1">2</definedName>
    <definedName name="solver_msl" localSheetId="27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6" hidden="1">2</definedName>
    <definedName name="solver_msl" localSheetId="33" hidden="1">2</definedName>
    <definedName name="solver_msl" localSheetId="36" hidden="1">2</definedName>
    <definedName name="solver_msl" localSheetId="37" hidden="1">2</definedName>
    <definedName name="solver_msl" localSheetId="44" hidden="1">2</definedName>
    <definedName name="solver_msl" localSheetId="43" hidden="1">2</definedName>
    <definedName name="solver_msl" localSheetId="47" hidden="1">2</definedName>
    <definedName name="solver_msl" localSheetId="5" hidden="1">2</definedName>
    <definedName name="solver_msl" localSheetId="14" hidden="1">2</definedName>
    <definedName name="solver_msl" localSheetId="15" hidden="1">2</definedName>
    <definedName name="solver_msl" localSheetId="13" hidden="1">2</definedName>
    <definedName name="solver_msl" localSheetId="16" hidden="1">2</definedName>
    <definedName name="solver_neg" localSheetId="30" hidden="1">1</definedName>
    <definedName name="solver_neg" localSheetId="29" hidden="1">1</definedName>
    <definedName name="solver_neg" localSheetId="22" hidden="1">2</definedName>
    <definedName name="solver_neg" localSheetId="23" hidden="1">2</definedName>
    <definedName name="solver_neg" localSheetId="27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6" hidden="1">2</definedName>
    <definedName name="solver_neg" localSheetId="33" hidden="1">2</definedName>
    <definedName name="solver_neg" localSheetId="36" hidden="1">2</definedName>
    <definedName name="solver_neg" localSheetId="37" hidden="1">2</definedName>
    <definedName name="solver_neg" localSheetId="44" hidden="1">2</definedName>
    <definedName name="solver_neg" localSheetId="43" hidden="1">2</definedName>
    <definedName name="solver_neg" localSheetId="47" hidden="1">1</definedName>
    <definedName name="solver_neg" localSheetId="5" hidden="1">2</definedName>
    <definedName name="solver_neg" localSheetId="14" hidden="1">2</definedName>
    <definedName name="solver_neg" localSheetId="15" hidden="1">2</definedName>
    <definedName name="solver_neg" localSheetId="13" hidden="1">2</definedName>
    <definedName name="solver_neg" localSheetId="16" hidden="1">2</definedName>
    <definedName name="solver_nod" localSheetId="22" hidden="1">2147483647</definedName>
    <definedName name="solver_nod" localSheetId="23" hidden="1">2147483647</definedName>
    <definedName name="solver_nod" localSheetId="27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6" hidden="1">2147483647</definedName>
    <definedName name="solver_nod" localSheetId="33" hidden="1">2147483647</definedName>
    <definedName name="solver_nod" localSheetId="36" hidden="1">2147483647</definedName>
    <definedName name="solver_nod" localSheetId="37" hidden="1">2147483647</definedName>
    <definedName name="solver_nod" localSheetId="44" hidden="1">2147483647</definedName>
    <definedName name="solver_nod" localSheetId="43" hidden="1">2147483647</definedName>
    <definedName name="solver_nod" localSheetId="47" hidden="1">2147483647</definedName>
    <definedName name="solver_nod" localSheetId="5" hidden="1">2147483647</definedName>
    <definedName name="solver_nod" localSheetId="14" hidden="1">2147483647</definedName>
    <definedName name="solver_nod" localSheetId="15" hidden="1">2147483647</definedName>
    <definedName name="solver_nod" localSheetId="13" hidden="1">2147483647</definedName>
    <definedName name="solver_nod" localSheetId="16" hidden="1">2147483647</definedName>
    <definedName name="solver_num" localSheetId="30" hidden="1">0</definedName>
    <definedName name="solver_num" localSheetId="29" hidden="1">0</definedName>
    <definedName name="solver_num" localSheetId="22" hidden="1">0</definedName>
    <definedName name="solver_num" localSheetId="23" hidden="1">0</definedName>
    <definedName name="solver_num" localSheetId="27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6" hidden="1">0</definedName>
    <definedName name="solver_num" localSheetId="33" hidden="1">0</definedName>
    <definedName name="solver_num" localSheetId="36" hidden="1">0</definedName>
    <definedName name="solver_num" localSheetId="37" hidden="1">0</definedName>
    <definedName name="solver_num" localSheetId="44" hidden="1">2</definedName>
    <definedName name="solver_num" localSheetId="43" hidden="1">1</definedName>
    <definedName name="solver_num" localSheetId="47" hidden="1">0</definedName>
    <definedName name="solver_num" localSheetId="5" hidden="1">4</definedName>
    <definedName name="solver_num" localSheetId="14" hidden="1">0</definedName>
    <definedName name="solver_num" localSheetId="15" hidden="1">0</definedName>
    <definedName name="solver_num" localSheetId="13" hidden="1">1</definedName>
    <definedName name="solver_num" localSheetId="16" hidden="1">0</definedName>
    <definedName name="solver_nwt" localSheetId="22" hidden="1">1</definedName>
    <definedName name="solver_nwt" localSheetId="23" hidden="1">1</definedName>
    <definedName name="solver_nwt" localSheetId="27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6" hidden="1">1</definedName>
    <definedName name="solver_nwt" localSheetId="33" hidden="1">1</definedName>
    <definedName name="solver_nwt" localSheetId="36" hidden="1">1</definedName>
    <definedName name="solver_nwt" localSheetId="37" hidden="1">1</definedName>
    <definedName name="solver_nwt" localSheetId="44" hidden="1">1</definedName>
    <definedName name="solver_nwt" localSheetId="43" hidden="1">1</definedName>
    <definedName name="solver_nwt" localSheetId="47" hidden="1">1</definedName>
    <definedName name="solver_nwt" localSheetId="5" hidden="1">1</definedName>
    <definedName name="solver_nwt" localSheetId="14" hidden="1">1</definedName>
    <definedName name="solver_nwt" localSheetId="15" hidden="1">1</definedName>
    <definedName name="solver_nwt" localSheetId="13" hidden="1">1</definedName>
    <definedName name="solver_nwt" localSheetId="16" hidden="1">1</definedName>
    <definedName name="solver_opt" localSheetId="30" hidden="1">'10-alpha test'!$C$7</definedName>
    <definedName name="solver_opt" localSheetId="29" hidden="1">'10-alphas5'!$C$7</definedName>
    <definedName name="solver_opt" localSheetId="22" hidden="1">'10-CAPM'!$G$13</definedName>
    <definedName name="solver_opt" localSheetId="23" hidden="1">'10-Out of Sample'!$J$13</definedName>
    <definedName name="solver_opt" localSheetId="27" hidden="1">'10-SMB'!$G$16</definedName>
    <definedName name="solver_opt" localSheetId="24" hidden="1">'10-Spanning Test'!$L$13</definedName>
    <definedName name="solver_opt" localSheetId="28" hidden="1">'10-T-weights5'!$J$21</definedName>
    <definedName name="solver_opt" localSheetId="25" hidden="1">'10-Zero Cost I'!$N$15</definedName>
    <definedName name="solver_opt" localSheetId="26" hidden="1">'10-Zero Cost II'!$K$13</definedName>
    <definedName name="solver_opt" localSheetId="33" hidden="1">'11-CAPM Anom'!$M$8</definedName>
    <definedName name="solver_opt" localSheetId="36" hidden="1">'13-Consensus Model'!$K$27</definedName>
    <definedName name="solver_opt" localSheetId="37" hidden="1">'13-Thesis Model'!$K$27</definedName>
    <definedName name="solver_opt" localSheetId="44" hidden="1">'14-Maximizing IR'!$B$45</definedName>
    <definedName name="solver_opt" localSheetId="43" hidden="1">'14-Maximizing IR1'!$J$14</definedName>
    <definedName name="solver_opt" localSheetId="47" hidden="1">'16-Debt Value'!$C$9</definedName>
    <definedName name="solver_opt" localSheetId="5" hidden="1">'7-Var'!$A$66</definedName>
    <definedName name="solver_opt" localSheetId="14" hidden="1">'8-active portfolio'!$B$17</definedName>
    <definedName name="solver_opt" localSheetId="15" hidden="1">'8-alpha'!$G$45</definedName>
    <definedName name="solver_opt" localSheetId="13" hidden="1">'8-Efficient Frontier'!$F$38</definedName>
    <definedName name="solver_opt" localSheetId="16" hidden="1">'8-Var2'!$B$25</definedName>
    <definedName name="solver_pre" localSheetId="22" hidden="1">0.000001</definedName>
    <definedName name="solver_pre" localSheetId="23" hidden="1">0.000001</definedName>
    <definedName name="solver_pre" localSheetId="27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6" hidden="1">0.000001</definedName>
    <definedName name="solver_pre" localSheetId="33" hidden="1">0.000001</definedName>
    <definedName name="solver_pre" localSheetId="36" hidden="1">0.000001</definedName>
    <definedName name="solver_pre" localSheetId="37" hidden="1">0.000001</definedName>
    <definedName name="solver_pre" localSheetId="44" hidden="1">0.000001</definedName>
    <definedName name="solver_pre" localSheetId="43" hidden="1">0.000001</definedName>
    <definedName name="solver_pre" localSheetId="47" hidden="1">0.000001</definedName>
    <definedName name="solver_pre" localSheetId="5" hidden="1">0.000001</definedName>
    <definedName name="solver_pre" localSheetId="14" hidden="1">0.000001</definedName>
    <definedName name="solver_pre" localSheetId="15" hidden="1">0.000001</definedName>
    <definedName name="solver_pre" localSheetId="13" hidden="1">0.000001</definedName>
    <definedName name="solver_pre" localSheetId="16" hidden="1">0.000001</definedName>
    <definedName name="solver_rbv" localSheetId="22" hidden="1">1</definedName>
    <definedName name="solver_rbv" localSheetId="23" hidden="1">1</definedName>
    <definedName name="solver_rbv" localSheetId="27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6" hidden="1">1</definedName>
    <definedName name="solver_rbv" localSheetId="33" hidden="1">1</definedName>
    <definedName name="solver_rbv" localSheetId="36" hidden="1">1</definedName>
    <definedName name="solver_rbv" localSheetId="37" hidden="1">1</definedName>
    <definedName name="solver_rbv" localSheetId="44" hidden="1">2</definedName>
    <definedName name="solver_rbv" localSheetId="43" hidden="1">2</definedName>
    <definedName name="solver_rbv" localSheetId="47" hidden="1">1</definedName>
    <definedName name="solver_rbv" localSheetId="5" hidden="1">1</definedName>
    <definedName name="solver_rbv" localSheetId="14" hidden="1">1</definedName>
    <definedName name="solver_rbv" localSheetId="15" hidden="1">1</definedName>
    <definedName name="solver_rbv" localSheetId="13" hidden="1">1</definedName>
    <definedName name="solver_rbv" localSheetId="16" hidden="1">1</definedName>
    <definedName name="solver_rel1" localSheetId="28" hidden="1">2</definedName>
    <definedName name="solver_rel1" localSheetId="44" hidden="1">2</definedName>
    <definedName name="solver_rel1" localSheetId="43" hidden="1">2</definedName>
    <definedName name="solver_rel1" localSheetId="5" hidden="1">2</definedName>
    <definedName name="solver_rel1" localSheetId="14" hidden="1">2</definedName>
    <definedName name="solver_rel1" localSheetId="13" hidden="1">2</definedName>
    <definedName name="solver_rel2" localSheetId="44" hidden="1">2</definedName>
    <definedName name="solver_rel2" localSheetId="5" hidden="1">2</definedName>
    <definedName name="solver_rel3" localSheetId="44" hidden="1">2</definedName>
    <definedName name="solver_rel3" localSheetId="5" hidden="1">2</definedName>
    <definedName name="solver_rel4" localSheetId="5" hidden="1">2</definedName>
    <definedName name="solver_rhs1" localSheetId="28" hidden="1">1</definedName>
    <definedName name="solver_rhs1" localSheetId="44" hidden="1">0.05</definedName>
    <definedName name="solver_rhs1" localSheetId="43" hidden="1">0.05</definedName>
    <definedName name="solver_rhs1" localSheetId="5" hidden="1">0</definedName>
    <definedName name="solver_rhs1" localSheetId="14" hidden="1">0.2</definedName>
    <definedName name="solver_rhs1" localSheetId="13" hidden="1">'8-Efficient Frontier'!$G$27</definedName>
    <definedName name="solver_rhs2" localSheetId="44" hidden="1">1</definedName>
    <definedName name="solver_rhs2" localSheetId="5" hidden="1">1</definedName>
    <definedName name="solver_rhs3" localSheetId="44" hidden="1">0</definedName>
    <definedName name="solver_rhs3" localSheetId="5" hidden="1">0</definedName>
    <definedName name="solver_rhs4" localSheetId="5" hidden="1">1</definedName>
    <definedName name="solver_rlx" localSheetId="22" hidden="1">2</definedName>
    <definedName name="solver_rlx" localSheetId="23" hidden="1">2</definedName>
    <definedName name="solver_rlx" localSheetId="27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6" hidden="1">2</definedName>
    <definedName name="solver_rlx" localSheetId="33" hidden="1">2</definedName>
    <definedName name="solver_rlx" localSheetId="36" hidden="1">2</definedName>
    <definedName name="solver_rlx" localSheetId="37" hidden="1">2</definedName>
    <definedName name="solver_rlx" localSheetId="44" hidden="1">2</definedName>
    <definedName name="solver_rlx" localSheetId="43" hidden="1">2</definedName>
    <definedName name="solver_rlx" localSheetId="47" hidden="1">2</definedName>
    <definedName name="solver_rlx" localSheetId="5" hidden="1">2</definedName>
    <definedName name="solver_rlx" localSheetId="14" hidden="1">2</definedName>
    <definedName name="solver_rlx" localSheetId="15" hidden="1">2</definedName>
    <definedName name="solver_rlx" localSheetId="13" hidden="1">2</definedName>
    <definedName name="solver_rlx" localSheetId="16" hidden="1">2</definedName>
    <definedName name="solver_rsd" localSheetId="22" hidden="1">0</definedName>
    <definedName name="solver_rsd" localSheetId="23" hidden="1">0</definedName>
    <definedName name="solver_rsd" localSheetId="27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6" hidden="1">0</definedName>
    <definedName name="solver_rsd" localSheetId="33" hidden="1">0</definedName>
    <definedName name="solver_rsd" localSheetId="36" hidden="1">0</definedName>
    <definedName name="solver_rsd" localSheetId="37" hidden="1">0</definedName>
    <definedName name="solver_rsd" localSheetId="44" hidden="1">0</definedName>
    <definedName name="solver_rsd" localSheetId="43" hidden="1">0</definedName>
    <definedName name="solver_rsd" localSheetId="47" hidden="1">0</definedName>
    <definedName name="solver_rsd" localSheetId="5" hidden="1">0</definedName>
    <definedName name="solver_rsd" localSheetId="14" hidden="1">0</definedName>
    <definedName name="solver_rsd" localSheetId="15" hidden="1">0</definedName>
    <definedName name="solver_rsd" localSheetId="13" hidden="1">0</definedName>
    <definedName name="solver_rsd" localSheetId="16" hidden="1">0</definedName>
    <definedName name="solver_scl" localSheetId="22" hidden="1">1</definedName>
    <definedName name="solver_scl" localSheetId="23" hidden="1">1</definedName>
    <definedName name="solver_scl" localSheetId="27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6" hidden="1">1</definedName>
    <definedName name="solver_scl" localSheetId="33" hidden="1">1</definedName>
    <definedName name="solver_scl" localSheetId="36" hidden="1">1</definedName>
    <definedName name="solver_scl" localSheetId="37" hidden="1">1</definedName>
    <definedName name="solver_scl" localSheetId="44" hidden="1">2</definedName>
    <definedName name="solver_scl" localSheetId="43" hidden="1">2</definedName>
    <definedName name="solver_scl" localSheetId="47" hidden="1">1</definedName>
    <definedName name="solver_scl" localSheetId="5" hidden="1">1</definedName>
    <definedName name="solver_scl" localSheetId="14" hidden="1">1</definedName>
    <definedName name="solver_scl" localSheetId="15" hidden="1">1</definedName>
    <definedName name="solver_scl" localSheetId="13" hidden="1">1</definedName>
    <definedName name="solver_scl" localSheetId="16" hidden="1">1</definedName>
    <definedName name="solver_sho" localSheetId="22" hidden="1">2</definedName>
    <definedName name="solver_sho" localSheetId="23" hidden="1">2</definedName>
    <definedName name="solver_sho" localSheetId="27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6" hidden="1">2</definedName>
    <definedName name="solver_sho" localSheetId="33" hidden="1">2</definedName>
    <definedName name="solver_sho" localSheetId="36" hidden="1">2</definedName>
    <definedName name="solver_sho" localSheetId="37" hidden="1">2</definedName>
    <definedName name="solver_sho" localSheetId="44" hidden="1">2</definedName>
    <definedName name="solver_sho" localSheetId="43" hidden="1">2</definedName>
    <definedName name="solver_sho" localSheetId="47" hidden="1">2</definedName>
    <definedName name="solver_sho" localSheetId="5" hidden="1">2</definedName>
    <definedName name="solver_sho" localSheetId="14" hidden="1">2</definedName>
    <definedName name="solver_sho" localSheetId="15" hidden="1">2</definedName>
    <definedName name="solver_sho" localSheetId="13" hidden="1">2</definedName>
    <definedName name="solver_sho" localSheetId="16" hidden="1">2</definedName>
    <definedName name="solver_ssz" localSheetId="22" hidden="1">100</definedName>
    <definedName name="solver_ssz" localSheetId="23" hidden="1">100</definedName>
    <definedName name="solver_ssz" localSheetId="27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6" hidden="1">100</definedName>
    <definedName name="solver_ssz" localSheetId="33" hidden="1">100</definedName>
    <definedName name="solver_ssz" localSheetId="36" hidden="1">100</definedName>
    <definedName name="solver_ssz" localSheetId="37" hidden="1">100</definedName>
    <definedName name="solver_ssz" localSheetId="44" hidden="1">100</definedName>
    <definedName name="solver_ssz" localSheetId="43" hidden="1">100</definedName>
    <definedName name="solver_ssz" localSheetId="47" hidden="1">100</definedName>
    <definedName name="solver_ssz" localSheetId="5" hidden="1">100</definedName>
    <definedName name="solver_ssz" localSheetId="14" hidden="1">100</definedName>
    <definedName name="solver_ssz" localSheetId="15" hidden="1">100</definedName>
    <definedName name="solver_ssz" localSheetId="13" hidden="1">100</definedName>
    <definedName name="solver_ssz" localSheetId="16" hidden="1">100</definedName>
    <definedName name="solver_tim" localSheetId="22" hidden="1">2147483647</definedName>
    <definedName name="solver_tim" localSheetId="23" hidden="1">2147483647</definedName>
    <definedName name="solver_tim" localSheetId="27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6" hidden="1">2147483647</definedName>
    <definedName name="solver_tim" localSheetId="33" hidden="1">2147483647</definedName>
    <definedName name="solver_tim" localSheetId="36" hidden="1">2147483647</definedName>
    <definedName name="solver_tim" localSheetId="37" hidden="1">2147483647</definedName>
    <definedName name="solver_tim" localSheetId="44" hidden="1">2147483647</definedName>
    <definedName name="solver_tim" localSheetId="43" hidden="1">2147483647</definedName>
    <definedName name="solver_tim" localSheetId="47" hidden="1">2147483647</definedName>
    <definedName name="solver_tim" localSheetId="5" hidden="1">2147483647</definedName>
    <definedName name="solver_tim" localSheetId="14" hidden="1">2147483647</definedName>
    <definedName name="solver_tim" localSheetId="15" hidden="1">2147483647</definedName>
    <definedName name="solver_tim" localSheetId="13" hidden="1">2147483647</definedName>
    <definedName name="solver_tim" localSheetId="16" hidden="1">2147483647</definedName>
    <definedName name="solver_tol" localSheetId="22" hidden="1">0.01</definedName>
    <definedName name="solver_tol" localSheetId="23" hidden="1">0.01</definedName>
    <definedName name="solver_tol" localSheetId="27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6" hidden="1">0.01</definedName>
    <definedName name="solver_tol" localSheetId="33" hidden="1">0.01</definedName>
    <definedName name="solver_tol" localSheetId="36" hidden="1">0.01</definedName>
    <definedName name="solver_tol" localSheetId="37" hidden="1">0.01</definedName>
    <definedName name="solver_tol" localSheetId="44" hidden="1">0.01</definedName>
    <definedName name="solver_tol" localSheetId="43" hidden="1">0.01</definedName>
    <definedName name="solver_tol" localSheetId="47" hidden="1">0.01</definedName>
    <definedName name="solver_tol" localSheetId="5" hidden="1">0.01</definedName>
    <definedName name="solver_tol" localSheetId="14" hidden="1">0.01</definedName>
    <definedName name="solver_tol" localSheetId="15" hidden="1">0.01</definedName>
    <definedName name="solver_tol" localSheetId="13" hidden="1">0.01</definedName>
    <definedName name="solver_tol" localSheetId="16" hidden="1">0.01</definedName>
    <definedName name="solver_typ" localSheetId="30" hidden="1">1</definedName>
    <definedName name="solver_typ" localSheetId="29" hidden="1">1</definedName>
    <definedName name="solver_typ" localSheetId="22" hidden="1">3</definedName>
    <definedName name="solver_typ" localSheetId="23" hidden="1">1</definedName>
    <definedName name="solver_typ" localSheetId="27" hidden="1">1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6" hidden="1">1</definedName>
    <definedName name="solver_typ" localSheetId="33" hidden="1">1</definedName>
    <definedName name="solver_typ" localSheetId="36" hidden="1">3</definedName>
    <definedName name="solver_typ" localSheetId="37" hidden="1">3</definedName>
    <definedName name="solver_typ" localSheetId="44" hidden="1">1</definedName>
    <definedName name="solver_typ" localSheetId="43" hidden="1">1</definedName>
    <definedName name="solver_typ" localSheetId="47" hidden="1">3</definedName>
    <definedName name="solver_typ" localSheetId="5" hidden="1">3</definedName>
    <definedName name="solver_typ" localSheetId="14" hidden="1">1</definedName>
    <definedName name="solver_typ" localSheetId="15" hidden="1">1</definedName>
    <definedName name="solver_typ" localSheetId="13" hidden="1">2</definedName>
    <definedName name="solver_typ" localSheetId="16" hidden="1">1</definedName>
    <definedName name="solver_val" localSheetId="30" hidden="1">0</definedName>
    <definedName name="solver_val" localSheetId="29" hidden="1">0</definedName>
    <definedName name="solver_val" localSheetId="22" hidden="1">1000</definedName>
    <definedName name="solver_val" localSheetId="23" hidden="1">0</definedName>
    <definedName name="solver_val" localSheetId="27" hidden="1">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6" hidden="1">0</definedName>
    <definedName name="solver_val" localSheetId="33" hidden="1">9.259259</definedName>
    <definedName name="solver_val" localSheetId="36" hidden="1">12.15</definedName>
    <definedName name="solver_val" localSheetId="37" hidden="1">12.15</definedName>
    <definedName name="solver_val" localSheetId="44" hidden="1">0</definedName>
    <definedName name="solver_val" localSheetId="43" hidden="1">0</definedName>
    <definedName name="solver_val" localSheetId="47" hidden="1">30</definedName>
    <definedName name="solver_val" localSheetId="5" hidden="1">0</definedName>
    <definedName name="solver_val" localSheetId="14" hidden="1">0</definedName>
    <definedName name="solver_val" localSheetId="15" hidden="1">0</definedName>
    <definedName name="solver_val" localSheetId="13" hidden="1">-0.1</definedName>
    <definedName name="solver_val" localSheetId="16" hidden="1">0</definedName>
    <definedName name="solver_ver" localSheetId="30" hidden="1">3</definedName>
    <definedName name="solver_ver" localSheetId="29" hidden="1">3</definedName>
    <definedName name="solver_ver" localSheetId="22" hidden="1">3</definedName>
    <definedName name="solver_ver" localSheetId="23" hidden="1">3</definedName>
    <definedName name="solver_ver" localSheetId="27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6" hidden="1">3</definedName>
    <definedName name="solver_ver" localSheetId="33" hidden="1">3</definedName>
    <definedName name="solver_ver" localSheetId="36" hidden="1">3</definedName>
    <definedName name="solver_ver" localSheetId="37" hidden="1">3</definedName>
    <definedName name="solver_ver" localSheetId="44" hidden="1">3</definedName>
    <definedName name="solver_ver" localSheetId="43" hidden="1">3</definedName>
    <definedName name="solver_ver" localSheetId="47" hidden="1">3</definedName>
    <definedName name="solver_ver" localSheetId="5" hidden="1">3</definedName>
    <definedName name="solver_ver" localSheetId="14" hidden="1">3</definedName>
    <definedName name="solver_ver" localSheetId="15" hidden="1">3</definedName>
    <definedName name="solver_ver" localSheetId="13" hidden="1">3</definedName>
    <definedName name="solver_ver" localSheetId="1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84" l="1"/>
  <c r="F3" i="84"/>
  <c r="H3" i="84" s="1"/>
  <c r="I3" i="84" s="1"/>
  <c r="E3" i="84"/>
  <c r="C9" i="61"/>
  <c r="B14" i="61"/>
  <c r="B3" i="59"/>
  <c r="F3" i="59" s="1"/>
  <c r="C3" i="59"/>
  <c r="D3" i="59"/>
  <c r="A4" i="59"/>
  <c r="B4" i="59" s="1"/>
  <c r="A5" i="59"/>
  <c r="B5" i="59"/>
  <c r="C5" i="59"/>
  <c r="D5" i="59"/>
  <c r="A6" i="59"/>
  <c r="A7" i="59" s="1"/>
  <c r="B6" i="59"/>
  <c r="F6" i="59" s="1"/>
  <c r="C6" i="59"/>
  <c r="D6" i="59"/>
  <c r="B15" i="126"/>
  <c r="C15" i="126"/>
  <c r="D17" i="126"/>
  <c r="D15" i="126" s="1"/>
  <c r="I18" i="126"/>
  <c r="B22" i="126"/>
  <c r="B24" i="126"/>
  <c r="C22" i="126" s="1"/>
  <c r="D22" i="126"/>
  <c r="E22" i="126" s="1"/>
  <c r="B23" i="126"/>
  <c r="C23" i="126" s="1"/>
  <c r="E23" i="126" s="1"/>
  <c r="D23" i="126"/>
  <c r="D24" i="126"/>
  <c r="K21" i="117"/>
  <c r="K22" i="117"/>
  <c r="B23" i="117"/>
  <c r="C23" i="117"/>
  <c r="D23" i="117"/>
  <c r="E23" i="117"/>
  <c r="F23" i="117"/>
  <c r="G23" i="117"/>
  <c r="H23" i="117"/>
  <c r="I23" i="117"/>
  <c r="J23" i="117"/>
  <c r="K23" i="117"/>
  <c r="B27" i="117"/>
  <c r="C27" i="117" s="1"/>
  <c r="B39" i="117"/>
  <c r="D27" i="117"/>
  <c r="D39" i="117"/>
  <c r="B28" i="117"/>
  <c r="C28" i="117" s="1"/>
  <c r="D28" i="117"/>
  <c r="B29" i="117"/>
  <c r="C29" i="117" s="1"/>
  <c r="D29" i="117"/>
  <c r="B30" i="117"/>
  <c r="C30" i="117"/>
  <c r="D30" i="117"/>
  <c r="E30" i="117" s="1"/>
  <c r="B31" i="117"/>
  <c r="C31" i="117" s="1"/>
  <c r="D31" i="117"/>
  <c r="E31" i="117" s="1"/>
  <c r="B32" i="117"/>
  <c r="C32" i="117" s="1"/>
  <c r="D32" i="117"/>
  <c r="B33" i="117"/>
  <c r="C33" i="117" s="1"/>
  <c r="E33" i="117" s="1"/>
  <c r="D33" i="117"/>
  <c r="B34" i="117"/>
  <c r="C34" i="117"/>
  <c r="D34" i="117"/>
  <c r="E34" i="117" s="1"/>
  <c r="B35" i="117"/>
  <c r="C35" i="117" s="1"/>
  <c r="D35" i="117"/>
  <c r="B36" i="117"/>
  <c r="C36" i="117" s="1"/>
  <c r="D36" i="117"/>
  <c r="E36" i="117" s="1"/>
  <c r="B40" i="117"/>
  <c r="D40" i="117"/>
  <c r="B43" i="117"/>
  <c r="F14" i="125"/>
  <c r="H14" i="125" s="1"/>
  <c r="F17" i="125"/>
  <c r="F18" i="125" s="1"/>
  <c r="B18" i="125"/>
  <c r="C18" i="125"/>
  <c r="D18" i="125"/>
  <c r="E18" i="125"/>
  <c r="F14" i="124"/>
  <c r="H14" i="124"/>
  <c r="I14" i="124"/>
  <c r="J14" i="124"/>
  <c r="B15" i="124"/>
  <c r="F15" i="124" s="1"/>
  <c r="C15" i="124"/>
  <c r="D15" i="124"/>
  <c r="E15" i="124"/>
  <c r="B16" i="124"/>
  <c r="F16" i="124" s="1"/>
  <c r="C16" i="124"/>
  <c r="I16" i="124" s="1"/>
  <c r="D16" i="124"/>
  <c r="E16" i="124"/>
  <c r="H16" i="124"/>
  <c r="J16" i="124"/>
  <c r="F10" i="123"/>
  <c r="H10" i="123" s="1"/>
  <c r="I11" i="123" s="1"/>
  <c r="B11" i="123"/>
  <c r="C11" i="123"/>
  <c r="D11" i="123"/>
  <c r="E11" i="123"/>
  <c r="B12" i="123"/>
  <c r="C12" i="123"/>
  <c r="H12" i="123" s="1"/>
  <c r="D12" i="123"/>
  <c r="E12" i="123"/>
  <c r="F12" i="123"/>
  <c r="G11" i="116"/>
  <c r="G12" i="116"/>
  <c r="B13" i="116"/>
  <c r="G13" i="116" s="1"/>
  <c r="D13" i="116"/>
  <c r="G14" i="116"/>
  <c r="B17" i="116"/>
  <c r="H17" i="116" s="1"/>
  <c r="I17" i="116" s="1"/>
  <c r="C17" i="116"/>
  <c r="D17" i="116"/>
  <c r="E17" i="116"/>
  <c r="F17" i="116"/>
  <c r="B18" i="116"/>
  <c r="C18" i="116"/>
  <c r="C19" i="116" s="1"/>
  <c r="D18" i="116"/>
  <c r="D19" i="116" s="1"/>
  <c r="E18" i="116"/>
  <c r="E19" i="116" s="1"/>
  <c r="F18" i="116"/>
  <c r="F19" i="116"/>
  <c r="E5" i="114"/>
  <c r="F5" i="114"/>
  <c r="G5" i="114"/>
  <c r="H5" i="114"/>
  <c r="I5" i="114"/>
  <c r="E6" i="114"/>
  <c r="F6" i="114"/>
  <c r="G6" i="114"/>
  <c r="H6" i="114"/>
  <c r="I6" i="114"/>
  <c r="F7" i="114"/>
  <c r="E7" i="114"/>
  <c r="F8" i="114"/>
  <c r="E8" i="114"/>
  <c r="F9" i="114"/>
  <c r="F10" i="114"/>
  <c r="F11" i="114"/>
  <c r="F12" i="114"/>
  <c r="F13" i="114"/>
  <c r="F14" i="114"/>
  <c r="F15" i="114"/>
  <c r="F16" i="114"/>
  <c r="F17" i="114"/>
  <c r="F18" i="114"/>
  <c r="F19" i="114"/>
  <c r="F20" i="114"/>
  <c r="F21" i="114"/>
  <c r="F22" i="114"/>
  <c r="F23" i="114"/>
  <c r="F24" i="114"/>
  <c r="F25" i="114"/>
  <c r="F26" i="114"/>
  <c r="F27" i="114"/>
  <c r="F28" i="114"/>
  <c r="F29" i="114"/>
  <c r="F30" i="114"/>
  <c r="F31" i="114"/>
  <c r="F32" i="114"/>
  <c r="F33" i="114"/>
  <c r="F34" i="114"/>
  <c r="F35" i="114"/>
  <c r="F36" i="114"/>
  <c r="F37" i="114"/>
  <c r="F38" i="114"/>
  <c r="F39" i="114"/>
  <c r="F40" i="114"/>
  <c r="E9" i="114"/>
  <c r="E10" i="114"/>
  <c r="E11" i="114"/>
  <c r="E12" i="114"/>
  <c r="M6" i="114" s="1"/>
  <c r="E13" i="114"/>
  <c r="E14" i="114"/>
  <c r="E15" i="114"/>
  <c r="E16" i="114"/>
  <c r="E17" i="114"/>
  <c r="E18" i="114"/>
  <c r="E19" i="114"/>
  <c r="E20" i="114"/>
  <c r="E21" i="114"/>
  <c r="E22" i="114"/>
  <c r="E23" i="114"/>
  <c r="E24" i="114"/>
  <c r="E25" i="114"/>
  <c r="E26" i="114"/>
  <c r="E27" i="114"/>
  <c r="E28" i="114"/>
  <c r="E29" i="114"/>
  <c r="E30" i="114"/>
  <c r="E31" i="114"/>
  <c r="E32" i="114"/>
  <c r="E33" i="114"/>
  <c r="E34" i="114"/>
  <c r="E35" i="114"/>
  <c r="E36" i="114"/>
  <c r="E37" i="114"/>
  <c r="E38" i="114"/>
  <c r="E39" i="114"/>
  <c r="E40" i="114"/>
  <c r="G7" i="114"/>
  <c r="G8" i="114"/>
  <c r="G9" i="114"/>
  <c r="G10" i="114"/>
  <c r="G11" i="114"/>
  <c r="G12" i="114"/>
  <c r="G13" i="114"/>
  <c r="G14" i="114"/>
  <c r="G15" i="114"/>
  <c r="G16" i="114"/>
  <c r="G17" i="114"/>
  <c r="G18" i="114"/>
  <c r="G19" i="114"/>
  <c r="G20" i="114"/>
  <c r="G21" i="114"/>
  <c r="G22" i="114"/>
  <c r="G23" i="114"/>
  <c r="G24" i="114"/>
  <c r="G25" i="114"/>
  <c r="G26" i="114"/>
  <c r="G27" i="114"/>
  <c r="G28" i="114"/>
  <c r="G29" i="114"/>
  <c r="G30" i="114"/>
  <c r="G31" i="114"/>
  <c r="G32" i="114"/>
  <c r="G33" i="114"/>
  <c r="G34" i="114"/>
  <c r="G35" i="114"/>
  <c r="G36" i="114"/>
  <c r="G37" i="114"/>
  <c r="G38" i="114"/>
  <c r="G39" i="114"/>
  <c r="G40" i="114"/>
  <c r="H7" i="114"/>
  <c r="H8" i="114"/>
  <c r="H9" i="114"/>
  <c r="H10" i="114"/>
  <c r="H11" i="114"/>
  <c r="H12" i="114"/>
  <c r="H13" i="114"/>
  <c r="H14" i="114"/>
  <c r="H15" i="114"/>
  <c r="H16" i="114"/>
  <c r="H17" i="114"/>
  <c r="H18" i="114"/>
  <c r="H19" i="114"/>
  <c r="H20" i="114"/>
  <c r="H21" i="114"/>
  <c r="H22" i="114"/>
  <c r="H23" i="114"/>
  <c r="H24" i="114"/>
  <c r="H25" i="114"/>
  <c r="H26" i="114"/>
  <c r="H27" i="114"/>
  <c r="H28" i="114"/>
  <c r="H29" i="114"/>
  <c r="H30" i="114"/>
  <c r="H31" i="114"/>
  <c r="H32" i="114"/>
  <c r="H33" i="114"/>
  <c r="H34" i="114"/>
  <c r="H35" i="114"/>
  <c r="H36" i="114"/>
  <c r="H37" i="114"/>
  <c r="H38" i="114"/>
  <c r="H39" i="114"/>
  <c r="H40" i="114"/>
  <c r="I7" i="114"/>
  <c r="I8" i="114"/>
  <c r="I9" i="114"/>
  <c r="I10" i="114"/>
  <c r="I11" i="114"/>
  <c r="I12" i="114"/>
  <c r="I13" i="114"/>
  <c r="I14" i="114"/>
  <c r="I15" i="114"/>
  <c r="I16" i="114"/>
  <c r="I17" i="114"/>
  <c r="I18" i="114"/>
  <c r="I19" i="114"/>
  <c r="I20" i="114"/>
  <c r="I21" i="114"/>
  <c r="I22" i="114"/>
  <c r="I23" i="114"/>
  <c r="I24" i="114"/>
  <c r="I25" i="114"/>
  <c r="I26" i="114"/>
  <c r="I27" i="114"/>
  <c r="I28" i="114"/>
  <c r="I29" i="114"/>
  <c r="I30" i="114"/>
  <c r="I31" i="114"/>
  <c r="I32" i="114"/>
  <c r="I33" i="114"/>
  <c r="I34" i="114"/>
  <c r="I35" i="114"/>
  <c r="I36" i="114"/>
  <c r="I37" i="114"/>
  <c r="I38" i="114"/>
  <c r="I39" i="114"/>
  <c r="I40" i="114"/>
  <c r="B6" i="102"/>
  <c r="B7" i="102" s="1"/>
  <c r="B8" i="102" s="1"/>
  <c r="B10" i="102" s="1"/>
  <c r="B11" i="102" s="1"/>
  <c r="B12" i="102" s="1"/>
  <c r="B13" i="102" s="1"/>
  <c r="B14" i="102" s="1"/>
  <c r="B15" i="102" s="1"/>
  <c r="B16" i="102" s="1"/>
  <c r="B18" i="102" s="1"/>
  <c r="B19" i="102" s="1"/>
  <c r="B20" i="102" s="1"/>
  <c r="B21" i="102" s="1"/>
  <c r="B22" i="102" s="1"/>
  <c r="B24" i="102" s="1"/>
  <c r="B25" i="102" s="1"/>
  <c r="B26" i="102" s="1"/>
  <c r="B27" i="102" s="1"/>
  <c r="B28" i="102" s="1"/>
  <c r="B30" i="102" s="1"/>
  <c r="B31" i="102" s="1"/>
  <c r="B32" i="102" s="1"/>
  <c r="B33" i="102" s="1"/>
  <c r="B34" i="102" s="1"/>
  <c r="B35" i="102" s="1"/>
  <c r="B36" i="102" s="1"/>
  <c r="B37" i="102" s="1"/>
  <c r="B38" i="102" s="1"/>
  <c r="B40" i="102" s="1"/>
  <c r="B41" i="102" s="1"/>
  <c r="B42" i="102" s="1"/>
  <c r="E8" i="102"/>
  <c r="E32" i="102" s="1"/>
  <c r="F8" i="102"/>
  <c r="E12" i="102"/>
  <c r="E15" i="102" s="1"/>
  <c r="F12" i="102"/>
  <c r="F16" i="102" s="1"/>
  <c r="E13" i="102"/>
  <c r="F13" i="102"/>
  <c r="F15" i="102"/>
  <c r="E31" i="102"/>
  <c r="F31" i="102"/>
  <c r="F32" i="102"/>
  <c r="D3" i="99"/>
  <c r="C3" i="99" s="1"/>
  <c r="B3" i="99" s="1"/>
  <c r="F3" i="99"/>
  <c r="G3" i="99" s="1"/>
  <c r="M3" i="99"/>
  <c r="L3" i="99" s="1"/>
  <c r="K3" i="99" s="1"/>
  <c r="O3" i="99"/>
  <c r="P3" i="99" s="1"/>
  <c r="Q3" i="99"/>
  <c r="C4" i="99"/>
  <c r="C11" i="99" s="1"/>
  <c r="D4" i="99"/>
  <c r="F5" i="99"/>
  <c r="G5" i="99"/>
  <c r="H5" i="99"/>
  <c r="B15" i="99"/>
  <c r="B21" i="99"/>
  <c r="B22" i="99" s="1"/>
  <c r="Q5" i="99"/>
  <c r="K9" i="99"/>
  <c r="K11" i="99" s="1"/>
  <c r="L9" i="99"/>
  <c r="M9" i="99"/>
  <c r="M11" i="99" s="1"/>
  <c r="N9" i="99"/>
  <c r="O9" i="99"/>
  <c r="O11" i="99" s="1"/>
  <c r="P9" i="99"/>
  <c r="P11" i="99" s="1"/>
  <c r="Q9" i="99"/>
  <c r="B11" i="99"/>
  <c r="B14" i="99" s="1"/>
  <c r="B10" i="99"/>
  <c r="D11" i="99"/>
  <c r="L11" i="99"/>
  <c r="N11" i="99"/>
  <c r="Q11" i="99"/>
  <c r="P20" i="99"/>
  <c r="Q20" i="99" s="1"/>
  <c r="K24" i="99"/>
  <c r="D3" i="98"/>
  <c r="C3" i="98"/>
  <c r="B3" i="98" s="1"/>
  <c r="F3" i="98"/>
  <c r="G3" i="98"/>
  <c r="M3" i="98"/>
  <c r="L3" i="98"/>
  <c r="K3" i="98" s="1"/>
  <c r="O3" i="98"/>
  <c r="P3" i="98" s="1"/>
  <c r="Q3" i="98" s="1"/>
  <c r="B9" i="98"/>
  <c r="C9" i="98"/>
  <c r="C13" i="98" s="1"/>
  <c r="D9" i="98"/>
  <c r="D13" i="98"/>
  <c r="D19" i="98" s="1"/>
  <c r="D20" i="98" s="1"/>
  <c r="D21" i="98"/>
  <c r="M4" i="98" s="1"/>
  <c r="E9" i="98"/>
  <c r="E13" i="98" s="1"/>
  <c r="F9" i="98"/>
  <c r="F13" i="98"/>
  <c r="F19" i="98" s="1"/>
  <c r="G9" i="98"/>
  <c r="G13" i="98" s="1"/>
  <c r="G19" i="98"/>
  <c r="G20" i="98" s="1"/>
  <c r="H9" i="98"/>
  <c r="H13" i="98"/>
  <c r="R22" i="98" s="1"/>
  <c r="R23" i="98" s="1"/>
  <c r="H19" i="98"/>
  <c r="H20" i="98" s="1"/>
  <c r="C5" i="98"/>
  <c r="D5" i="98"/>
  <c r="E5" i="98"/>
  <c r="F5" i="98"/>
  <c r="G5" i="98"/>
  <c r="H5" i="98"/>
  <c r="Q5" i="98"/>
  <c r="K9" i="98"/>
  <c r="L9" i="98"/>
  <c r="L11" i="98" s="1"/>
  <c r="M9" i="98"/>
  <c r="M11" i="98" s="1"/>
  <c r="N9" i="98"/>
  <c r="N11" i="98" s="1"/>
  <c r="O9" i="98"/>
  <c r="P9" i="98"/>
  <c r="Q9" i="98"/>
  <c r="Q11" i="98" s="1"/>
  <c r="C10" i="98"/>
  <c r="D10" i="98"/>
  <c r="E10" i="98"/>
  <c r="F10" i="98"/>
  <c r="G10" i="98"/>
  <c r="H10" i="98"/>
  <c r="K11" i="98"/>
  <c r="O11" i="98"/>
  <c r="P11" i="98"/>
  <c r="D14" i="98"/>
  <c r="G14" i="98"/>
  <c r="P20" i="98"/>
  <c r="Q20" i="98"/>
  <c r="K24" i="98"/>
  <c r="D13" i="101"/>
  <c r="C16" i="101" s="1"/>
  <c r="I9" i="97"/>
  <c r="I10" i="97"/>
  <c r="I18" i="97" s="1"/>
  <c r="I17" i="97"/>
  <c r="M8" i="97"/>
  <c r="D11" i="97"/>
  <c r="D14" i="97"/>
  <c r="D16" i="97" s="1"/>
  <c r="M17" i="97"/>
  <c r="I21" i="97"/>
  <c r="D22" i="97"/>
  <c r="D24" i="97" s="1"/>
  <c r="D26" i="97" s="1"/>
  <c r="I22" i="97"/>
  <c r="M23" i="97"/>
  <c r="D25" i="97"/>
  <c r="M27" i="97"/>
  <c r="M28" i="97"/>
  <c r="M34" i="97"/>
  <c r="H3" i="82"/>
  <c r="K8" i="82" s="1"/>
  <c r="I3" i="82"/>
  <c r="J3" i="82"/>
  <c r="Q3" i="82"/>
  <c r="R3" i="82"/>
  <c r="S3" i="82"/>
  <c r="H4" i="82"/>
  <c r="I4" i="82"/>
  <c r="J4" i="82"/>
  <c r="Q4" i="82"/>
  <c r="R4" i="82"/>
  <c r="S4" i="82"/>
  <c r="Q5" i="82"/>
  <c r="R5" i="82"/>
  <c r="S5" i="82"/>
  <c r="Q6" i="82"/>
  <c r="R6" i="82"/>
  <c r="S6" i="82"/>
  <c r="Q7" i="82"/>
  <c r="R7" i="82"/>
  <c r="S7" i="82"/>
  <c r="J8" i="82"/>
  <c r="Q8" i="82"/>
  <c r="R8" i="82"/>
  <c r="S8" i="82"/>
  <c r="Q9" i="82"/>
  <c r="R9" i="82"/>
  <c r="S9" i="82"/>
  <c r="Q10" i="82"/>
  <c r="R10" i="82"/>
  <c r="S10" i="82"/>
  <c r="Q11" i="82"/>
  <c r="R11" i="82"/>
  <c r="S11" i="82"/>
  <c r="Q12" i="82"/>
  <c r="R12" i="82"/>
  <c r="S12" i="82"/>
  <c r="H13" i="82"/>
  <c r="I13" i="82"/>
  <c r="J13" i="82"/>
  <c r="H15" i="82" s="1"/>
  <c r="Q13" i="82"/>
  <c r="R13" i="82"/>
  <c r="S13" i="82"/>
  <c r="I14" i="82"/>
  <c r="J14" i="82"/>
  <c r="I15" i="82" s="1"/>
  <c r="Q14" i="82"/>
  <c r="R14" i="82"/>
  <c r="S14" i="82"/>
  <c r="J15" i="82"/>
  <c r="Q15" i="82"/>
  <c r="R15" i="82"/>
  <c r="S15" i="82"/>
  <c r="Q16" i="82"/>
  <c r="R16" i="82"/>
  <c r="S16" i="82"/>
  <c r="Q17" i="82"/>
  <c r="R17" i="82"/>
  <c r="S17" i="82"/>
  <c r="Q18" i="82"/>
  <c r="R18" i="82"/>
  <c r="S18" i="82"/>
  <c r="Q19" i="82"/>
  <c r="R19" i="82"/>
  <c r="S19" i="82"/>
  <c r="Q20" i="82"/>
  <c r="R20" i="82"/>
  <c r="S20" i="82"/>
  <c r="Q21" i="82"/>
  <c r="R21" i="82"/>
  <c r="S21" i="82"/>
  <c r="Q22" i="82"/>
  <c r="R22" i="82"/>
  <c r="S22" i="82"/>
  <c r="Q23" i="82"/>
  <c r="R23" i="82"/>
  <c r="S23" i="82"/>
  <c r="Q24" i="82"/>
  <c r="R24" i="82"/>
  <c r="S24" i="82"/>
  <c r="Q25" i="82"/>
  <c r="R25" i="82"/>
  <c r="S25" i="82"/>
  <c r="Q26" i="82"/>
  <c r="R26" i="82"/>
  <c r="S26" i="82"/>
  <c r="Q27" i="82"/>
  <c r="R27" i="82"/>
  <c r="S27" i="82"/>
  <c r="Q28" i="82"/>
  <c r="R28" i="82"/>
  <c r="S28" i="82"/>
  <c r="Q29" i="82"/>
  <c r="R29" i="82"/>
  <c r="S29" i="82"/>
  <c r="Q30" i="82"/>
  <c r="R30" i="82"/>
  <c r="S30" i="82"/>
  <c r="Q31" i="82"/>
  <c r="R31" i="82"/>
  <c r="S31" i="82"/>
  <c r="Q32" i="82"/>
  <c r="R32" i="82"/>
  <c r="S32" i="82"/>
  <c r="Q33" i="82"/>
  <c r="R33" i="82"/>
  <c r="S33" i="82"/>
  <c r="Q34" i="82"/>
  <c r="R34" i="82"/>
  <c r="S34" i="82"/>
  <c r="Q35" i="82"/>
  <c r="R35" i="82"/>
  <c r="S35" i="82"/>
  <c r="Q36" i="82"/>
  <c r="R36" i="82"/>
  <c r="S36" i="82"/>
  <c r="Q37" i="82"/>
  <c r="R37" i="82"/>
  <c r="S37" i="82"/>
  <c r="Q38" i="82"/>
  <c r="R38" i="82"/>
  <c r="S38" i="82"/>
  <c r="Q39" i="82"/>
  <c r="R39" i="82"/>
  <c r="S39" i="82"/>
  <c r="Q40" i="82"/>
  <c r="R40" i="82"/>
  <c r="S40" i="82"/>
  <c r="Q41" i="82"/>
  <c r="R41" i="82"/>
  <c r="S41" i="82"/>
  <c r="Q42" i="82"/>
  <c r="R42" i="82"/>
  <c r="S42" i="82"/>
  <c r="Q43" i="82"/>
  <c r="R43" i="82"/>
  <c r="S43" i="82"/>
  <c r="Q44" i="82"/>
  <c r="R44" i="82"/>
  <c r="S44" i="82"/>
  <c r="Q45" i="82"/>
  <c r="R45" i="82"/>
  <c r="S45" i="82"/>
  <c r="Q46" i="82"/>
  <c r="R46" i="82"/>
  <c r="S46" i="82"/>
  <c r="Q47" i="82"/>
  <c r="R47" i="82"/>
  <c r="S47" i="82"/>
  <c r="Q48" i="82"/>
  <c r="R48" i="82"/>
  <c r="S48" i="82"/>
  <c r="Q49" i="82"/>
  <c r="R49" i="82"/>
  <c r="S49" i="82"/>
  <c r="Q50" i="82"/>
  <c r="R50" i="82"/>
  <c r="S50" i="82"/>
  <c r="Q51" i="82"/>
  <c r="R51" i="82"/>
  <c r="S51" i="82"/>
  <c r="Q52" i="82"/>
  <c r="R52" i="82"/>
  <c r="S52" i="82"/>
  <c r="Q53" i="82"/>
  <c r="R53" i="82"/>
  <c r="S53" i="82"/>
  <c r="Q54" i="82"/>
  <c r="R54" i="82"/>
  <c r="S54" i="82"/>
  <c r="Q55" i="82"/>
  <c r="R55" i="82"/>
  <c r="S55" i="82"/>
  <c r="Q56" i="82"/>
  <c r="R56" i="82"/>
  <c r="S56" i="82"/>
  <c r="Q57" i="82"/>
  <c r="R57" i="82"/>
  <c r="S57" i="82"/>
  <c r="Q58" i="82"/>
  <c r="R58" i="82"/>
  <c r="S58" i="82"/>
  <c r="Q59" i="82"/>
  <c r="R59" i="82"/>
  <c r="S59" i="82"/>
  <c r="Q60" i="82"/>
  <c r="R60" i="82"/>
  <c r="S60" i="82"/>
  <c r="Q61" i="82"/>
  <c r="R61" i="82"/>
  <c r="S61" i="82"/>
  <c r="Q62" i="82"/>
  <c r="R62" i="82"/>
  <c r="S62" i="82"/>
  <c r="Q63" i="82"/>
  <c r="R63" i="82"/>
  <c r="S63" i="82"/>
  <c r="Q64" i="82"/>
  <c r="R64" i="82"/>
  <c r="S64" i="82"/>
  <c r="Q65" i="82"/>
  <c r="R65" i="82"/>
  <c r="S65" i="82"/>
  <c r="Q66" i="82"/>
  <c r="R66" i="82"/>
  <c r="S66" i="82"/>
  <c r="Q67" i="82"/>
  <c r="R67" i="82"/>
  <c r="S67" i="82"/>
  <c r="Q68" i="82"/>
  <c r="R68" i="82"/>
  <c r="S68" i="82"/>
  <c r="Q69" i="82"/>
  <c r="R69" i="82"/>
  <c r="S69" i="82"/>
  <c r="Q70" i="82"/>
  <c r="R70" i="82"/>
  <c r="S70" i="82"/>
  <c r="Q71" i="82"/>
  <c r="R71" i="82"/>
  <c r="S71" i="82"/>
  <c r="Q72" i="82"/>
  <c r="R72" i="82"/>
  <c r="S72" i="82"/>
  <c r="Q73" i="82"/>
  <c r="R73" i="82"/>
  <c r="S73" i="82"/>
  <c r="Q74" i="82"/>
  <c r="R74" i="82"/>
  <c r="S74" i="82"/>
  <c r="Q75" i="82"/>
  <c r="R75" i="82"/>
  <c r="S75" i="82"/>
  <c r="Q76" i="82"/>
  <c r="R76" i="82"/>
  <c r="S76" i="82"/>
  <c r="Q77" i="82"/>
  <c r="R77" i="82"/>
  <c r="S77" i="82"/>
  <c r="Q78" i="82"/>
  <c r="R78" i="82"/>
  <c r="S78" i="82"/>
  <c r="Q79" i="82"/>
  <c r="R79" i="82"/>
  <c r="S79" i="82"/>
  <c r="Q80" i="82"/>
  <c r="R80" i="82"/>
  <c r="S80" i="82"/>
  <c r="Q81" i="82"/>
  <c r="R81" i="82"/>
  <c r="S81" i="82"/>
  <c r="Q82" i="82"/>
  <c r="R82" i="82"/>
  <c r="S82" i="82"/>
  <c r="Q83" i="82"/>
  <c r="R83" i="82"/>
  <c r="S83" i="82"/>
  <c r="Q84" i="82"/>
  <c r="R84" i="82"/>
  <c r="S84" i="82"/>
  <c r="Q85" i="82"/>
  <c r="R85" i="82"/>
  <c r="S85" i="82"/>
  <c r="Q86" i="82"/>
  <c r="R86" i="82"/>
  <c r="S86" i="82"/>
  <c r="Q87" i="82"/>
  <c r="R87" i="82"/>
  <c r="S87" i="82"/>
  <c r="Q88" i="82"/>
  <c r="R88" i="82"/>
  <c r="S88" i="82"/>
  <c r="Q89" i="82"/>
  <c r="R89" i="82"/>
  <c r="S89" i="82"/>
  <c r="Q90" i="82"/>
  <c r="R90" i="82"/>
  <c r="S90" i="82"/>
  <c r="Q91" i="82"/>
  <c r="R91" i="82"/>
  <c r="S91" i="82"/>
  <c r="Q92" i="82"/>
  <c r="R92" i="82"/>
  <c r="S92" i="82"/>
  <c r="Q93" i="82"/>
  <c r="R93" i="82"/>
  <c r="S93" i="82"/>
  <c r="Q94" i="82"/>
  <c r="R94" i="82"/>
  <c r="S94" i="82"/>
  <c r="Q95" i="82"/>
  <c r="R95" i="82"/>
  <c r="S95" i="82"/>
  <c r="Q96" i="82"/>
  <c r="R96" i="82"/>
  <c r="S96" i="82"/>
  <c r="Q97" i="82"/>
  <c r="R97" i="82"/>
  <c r="S97" i="82"/>
  <c r="Q98" i="82"/>
  <c r="R98" i="82"/>
  <c r="S98" i="82"/>
  <c r="Q99" i="82"/>
  <c r="R99" i="82"/>
  <c r="S99" i="82"/>
  <c r="Q100" i="82"/>
  <c r="R100" i="82"/>
  <c r="S100" i="82"/>
  <c r="Q101" i="82"/>
  <c r="R101" i="82"/>
  <c r="S101" i="82"/>
  <c r="Q102" i="82"/>
  <c r="R102" i="82"/>
  <c r="S102" i="82"/>
  <c r="Q103" i="82"/>
  <c r="R103" i="82"/>
  <c r="S103" i="82"/>
  <c r="Q104" i="82"/>
  <c r="R104" i="82"/>
  <c r="S104" i="82"/>
  <c r="Q105" i="82"/>
  <c r="R105" i="82"/>
  <c r="S105" i="82"/>
  <c r="Q106" i="82"/>
  <c r="R106" i="82"/>
  <c r="S106" i="82"/>
  <c r="Q107" i="82"/>
  <c r="R107" i="82"/>
  <c r="S107" i="82"/>
  <c r="Q108" i="82"/>
  <c r="R108" i="82"/>
  <c r="S108" i="82"/>
  <c r="Q109" i="82"/>
  <c r="R109" i="82"/>
  <c r="S109" i="82"/>
  <c r="Q110" i="82"/>
  <c r="R110" i="82"/>
  <c r="S110" i="82"/>
  <c r="Q111" i="82"/>
  <c r="R111" i="82"/>
  <c r="S111" i="82"/>
  <c r="Q112" i="82"/>
  <c r="R112" i="82"/>
  <c r="S112" i="82"/>
  <c r="Q113" i="82"/>
  <c r="R113" i="82"/>
  <c r="S113" i="82"/>
  <c r="Q114" i="82"/>
  <c r="R114" i="82"/>
  <c r="S114" i="82"/>
  <c r="Q115" i="82"/>
  <c r="R115" i="82"/>
  <c r="S115" i="82"/>
  <c r="Q116" i="82"/>
  <c r="R116" i="82"/>
  <c r="S116" i="82"/>
  <c r="Q117" i="82"/>
  <c r="R117" i="82"/>
  <c r="S117" i="82"/>
  <c r="Q118" i="82"/>
  <c r="R118" i="82"/>
  <c r="S118" i="82"/>
  <c r="Q119" i="82"/>
  <c r="R119" i="82"/>
  <c r="S119" i="82"/>
  <c r="Q120" i="82"/>
  <c r="R120" i="82"/>
  <c r="S120" i="82"/>
  <c r="Q121" i="82"/>
  <c r="R121" i="82"/>
  <c r="S121" i="82"/>
  <c r="Q122" i="82"/>
  <c r="R122" i="82"/>
  <c r="S122" i="82"/>
  <c r="Q123" i="82"/>
  <c r="R123" i="82"/>
  <c r="S123" i="82"/>
  <c r="Q124" i="82"/>
  <c r="R124" i="82"/>
  <c r="S124" i="82"/>
  <c r="Q125" i="82"/>
  <c r="R125" i="82"/>
  <c r="S125" i="82"/>
  <c r="Q126" i="82"/>
  <c r="R126" i="82"/>
  <c r="S126" i="82"/>
  <c r="Q127" i="82"/>
  <c r="R127" i="82"/>
  <c r="S127" i="82"/>
  <c r="Q128" i="82"/>
  <c r="R128" i="82"/>
  <c r="S128" i="82"/>
  <c r="Q129" i="82"/>
  <c r="R129" i="82"/>
  <c r="S129" i="82"/>
  <c r="Q130" i="82"/>
  <c r="R130" i="82"/>
  <c r="S130" i="82"/>
  <c r="Q131" i="82"/>
  <c r="R131" i="82"/>
  <c r="S131" i="82"/>
  <c r="Q132" i="82"/>
  <c r="R132" i="82"/>
  <c r="S132" i="82"/>
  <c r="Q133" i="82"/>
  <c r="R133" i="82"/>
  <c r="S133" i="82"/>
  <c r="Q134" i="82"/>
  <c r="R134" i="82"/>
  <c r="S134" i="82"/>
  <c r="Q135" i="82"/>
  <c r="R135" i="82"/>
  <c r="S135" i="82"/>
  <c r="Q136" i="82"/>
  <c r="R136" i="82"/>
  <c r="S136" i="82"/>
  <c r="Q137" i="82"/>
  <c r="R137" i="82"/>
  <c r="S137" i="82"/>
  <c r="Q138" i="82"/>
  <c r="R138" i="82"/>
  <c r="S138" i="82"/>
  <c r="Q139" i="82"/>
  <c r="R139" i="82"/>
  <c r="S139" i="82"/>
  <c r="Q140" i="82"/>
  <c r="R140" i="82"/>
  <c r="S140" i="82"/>
  <c r="Q141" i="82"/>
  <c r="R141" i="82"/>
  <c r="S141" i="82"/>
  <c r="Q142" i="82"/>
  <c r="R142" i="82"/>
  <c r="S142" i="82"/>
  <c r="Q143" i="82"/>
  <c r="R143" i="82"/>
  <c r="S143" i="82"/>
  <c r="Q144" i="82"/>
  <c r="R144" i="82"/>
  <c r="S144" i="82"/>
  <c r="Q145" i="82"/>
  <c r="R145" i="82"/>
  <c r="S145" i="82"/>
  <c r="Q146" i="82"/>
  <c r="R146" i="82"/>
  <c r="S146" i="82"/>
  <c r="Q147" i="82"/>
  <c r="R147" i="82"/>
  <c r="S147" i="82"/>
  <c r="Q148" i="82"/>
  <c r="R148" i="82"/>
  <c r="S148" i="82"/>
  <c r="Q149" i="82"/>
  <c r="R149" i="82"/>
  <c r="S149" i="82"/>
  <c r="Q150" i="82"/>
  <c r="R150" i="82"/>
  <c r="S150" i="82"/>
  <c r="Q151" i="82"/>
  <c r="R151" i="82"/>
  <c r="S151" i="82"/>
  <c r="Q152" i="82"/>
  <c r="R152" i="82"/>
  <c r="S152" i="82"/>
  <c r="Q153" i="82"/>
  <c r="R153" i="82"/>
  <c r="S153" i="82"/>
  <c r="Q154" i="82"/>
  <c r="R154" i="82"/>
  <c r="S154" i="82"/>
  <c r="Q155" i="82"/>
  <c r="R155" i="82"/>
  <c r="S155" i="82"/>
  <c r="Q156" i="82"/>
  <c r="R156" i="82"/>
  <c r="S156" i="82"/>
  <c r="Q157" i="82"/>
  <c r="R157" i="82"/>
  <c r="S157" i="82"/>
  <c r="Q158" i="82"/>
  <c r="R158" i="82"/>
  <c r="S158" i="82"/>
  <c r="Q159" i="82"/>
  <c r="R159" i="82"/>
  <c r="S159" i="82"/>
  <c r="Q160" i="82"/>
  <c r="R160" i="82"/>
  <c r="S160" i="82"/>
  <c r="Q161" i="82"/>
  <c r="R161" i="82"/>
  <c r="S161" i="82"/>
  <c r="Q162" i="82"/>
  <c r="R162" i="82"/>
  <c r="S162" i="82"/>
  <c r="Q163" i="82"/>
  <c r="R163" i="82"/>
  <c r="S163" i="82"/>
  <c r="Q164" i="82"/>
  <c r="R164" i="82"/>
  <c r="S164" i="82"/>
  <c r="Q165" i="82"/>
  <c r="R165" i="82"/>
  <c r="S165" i="82"/>
  <c r="Q166" i="82"/>
  <c r="R166" i="82"/>
  <c r="S166" i="82"/>
  <c r="Q167" i="82"/>
  <c r="R167" i="82"/>
  <c r="S167" i="82"/>
  <c r="Q168" i="82"/>
  <c r="R168" i="82"/>
  <c r="S168" i="82"/>
  <c r="Q169" i="82"/>
  <c r="R169" i="82"/>
  <c r="S169" i="82"/>
  <c r="Q170" i="82"/>
  <c r="R170" i="82"/>
  <c r="S170" i="82"/>
  <c r="Q171" i="82"/>
  <c r="R171" i="82"/>
  <c r="S171" i="82"/>
  <c r="Q172" i="82"/>
  <c r="R172" i="82"/>
  <c r="S172" i="82"/>
  <c r="Q173" i="82"/>
  <c r="R173" i="82"/>
  <c r="S173" i="82"/>
  <c r="Q174" i="82"/>
  <c r="R174" i="82"/>
  <c r="S174" i="82"/>
  <c r="Q175" i="82"/>
  <c r="R175" i="82"/>
  <c r="S175" i="82"/>
  <c r="Q176" i="82"/>
  <c r="R176" i="82"/>
  <c r="S176" i="82"/>
  <c r="Q177" i="82"/>
  <c r="R177" i="82"/>
  <c r="S177" i="82"/>
  <c r="Q178" i="82"/>
  <c r="R178" i="82"/>
  <c r="S178" i="82"/>
  <c r="Q179" i="82"/>
  <c r="R179" i="82"/>
  <c r="S179" i="82"/>
  <c r="Q180" i="82"/>
  <c r="R180" i="82"/>
  <c r="S180" i="82"/>
  <c r="Q181" i="82"/>
  <c r="R181" i="82"/>
  <c r="S181" i="82"/>
  <c r="Q182" i="82"/>
  <c r="R182" i="82"/>
  <c r="S182" i="82"/>
  <c r="Q183" i="82"/>
  <c r="R183" i="82"/>
  <c r="S183" i="82"/>
  <c r="Q184" i="82"/>
  <c r="R184" i="82"/>
  <c r="S184" i="82"/>
  <c r="Q185" i="82"/>
  <c r="R185" i="82"/>
  <c r="S185" i="82"/>
  <c r="Q186" i="82"/>
  <c r="R186" i="82"/>
  <c r="S186" i="82"/>
  <c r="Q187" i="82"/>
  <c r="R187" i="82"/>
  <c r="S187" i="82"/>
  <c r="Q188" i="82"/>
  <c r="R188" i="82"/>
  <c r="S188" i="82"/>
  <c r="Q189" i="82"/>
  <c r="R189" i="82"/>
  <c r="S189" i="82"/>
  <c r="Q190" i="82"/>
  <c r="R190" i="82"/>
  <c r="S190" i="82"/>
  <c r="Q191" i="82"/>
  <c r="R191" i="82"/>
  <c r="S191" i="82"/>
  <c r="Q192" i="82"/>
  <c r="R192" i="82"/>
  <c r="S192" i="82"/>
  <c r="Q193" i="82"/>
  <c r="R193" i="82"/>
  <c r="S193" i="82"/>
  <c r="Q194" i="82"/>
  <c r="R194" i="82"/>
  <c r="S194" i="82"/>
  <c r="Q195" i="82"/>
  <c r="R195" i="82"/>
  <c r="S195" i="82"/>
  <c r="Q196" i="82"/>
  <c r="R196" i="82"/>
  <c r="S196" i="82"/>
  <c r="Q197" i="82"/>
  <c r="R197" i="82"/>
  <c r="S197" i="82"/>
  <c r="Q198" i="82"/>
  <c r="R198" i="82"/>
  <c r="S198" i="82"/>
  <c r="Q199" i="82"/>
  <c r="R199" i="82"/>
  <c r="S199" i="82"/>
  <c r="Q200" i="82"/>
  <c r="R200" i="82"/>
  <c r="S200" i="82"/>
  <c r="Q201" i="82"/>
  <c r="R201" i="82"/>
  <c r="S201" i="82"/>
  <c r="Q202" i="82"/>
  <c r="R202" i="82"/>
  <c r="S202" i="82"/>
  <c r="Q203" i="82"/>
  <c r="R203" i="82"/>
  <c r="S203" i="82"/>
  <c r="Q204" i="82"/>
  <c r="R204" i="82"/>
  <c r="S204" i="82"/>
  <c r="Q205" i="82"/>
  <c r="R205" i="82"/>
  <c r="S205" i="82"/>
  <c r="Q206" i="82"/>
  <c r="R206" i="82"/>
  <c r="S206" i="82"/>
  <c r="Q207" i="82"/>
  <c r="R207" i="82"/>
  <c r="S207" i="82"/>
  <c r="Q208" i="82"/>
  <c r="R208" i="82"/>
  <c r="S208" i="82"/>
  <c r="Q209" i="82"/>
  <c r="R209" i="82"/>
  <c r="S209" i="82"/>
  <c r="Q210" i="82"/>
  <c r="R210" i="82"/>
  <c r="S210" i="82"/>
  <c r="Q211" i="82"/>
  <c r="R211" i="82"/>
  <c r="S211" i="82"/>
  <c r="Q212" i="82"/>
  <c r="R212" i="82"/>
  <c r="S212" i="82"/>
  <c r="Q213" i="82"/>
  <c r="R213" i="82"/>
  <c r="S213" i="82"/>
  <c r="Q214" i="82"/>
  <c r="R214" i="82"/>
  <c r="S214" i="82"/>
  <c r="Q215" i="82"/>
  <c r="R215" i="82"/>
  <c r="S215" i="82"/>
  <c r="Q216" i="82"/>
  <c r="R216" i="82"/>
  <c r="S216" i="82"/>
  <c r="Q217" i="82"/>
  <c r="R217" i="82"/>
  <c r="S217" i="82"/>
  <c r="Q218" i="82"/>
  <c r="R218" i="82"/>
  <c r="S218" i="82"/>
  <c r="Q219" i="82"/>
  <c r="R219" i="82"/>
  <c r="S219" i="82"/>
  <c r="Q220" i="82"/>
  <c r="R220" i="82"/>
  <c r="S220" i="82"/>
  <c r="Q221" i="82"/>
  <c r="R221" i="82"/>
  <c r="S221" i="82"/>
  <c r="Q222" i="82"/>
  <c r="R222" i="82"/>
  <c r="S222" i="82"/>
  <c r="Q223" i="82"/>
  <c r="R223" i="82"/>
  <c r="S223" i="82"/>
  <c r="Q224" i="82"/>
  <c r="R224" i="82"/>
  <c r="S224" i="82"/>
  <c r="Q225" i="82"/>
  <c r="R225" i="82"/>
  <c r="S225" i="82"/>
  <c r="Q226" i="82"/>
  <c r="R226" i="82"/>
  <c r="S226" i="82"/>
  <c r="Q227" i="82"/>
  <c r="R227" i="82"/>
  <c r="S227" i="82"/>
  <c r="Q228" i="82"/>
  <c r="R228" i="82"/>
  <c r="S228" i="82"/>
  <c r="Q229" i="82"/>
  <c r="R229" i="82"/>
  <c r="S229" i="82"/>
  <c r="Q230" i="82"/>
  <c r="R230" i="82"/>
  <c r="S230" i="82"/>
  <c r="Q231" i="82"/>
  <c r="R231" i="82"/>
  <c r="S231" i="82"/>
  <c r="Q232" i="82"/>
  <c r="R232" i="82"/>
  <c r="S232" i="82"/>
  <c r="Q233" i="82"/>
  <c r="R233" i="82"/>
  <c r="S233" i="82"/>
  <c r="Q234" i="82"/>
  <c r="R234" i="82"/>
  <c r="S234" i="82"/>
  <c r="Q235" i="82"/>
  <c r="R235" i="82"/>
  <c r="S235" i="82"/>
  <c r="Q236" i="82"/>
  <c r="R236" i="82"/>
  <c r="S236" i="82"/>
  <c r="Q237" i="82"/>
  <c r="R237" i="82"/>
  <c r="S237" i="82"/>
  <c r="Q238" i="82"/>
  <c r="R238" i="82"/>
  <c r="S238" i="82"/>
  <c r="Q239" i="82"/>
  <c r="R239" i="82"/>
  <c r="S239" i="82"/>
  <c r="Q240" i="82"/>
  <c r="R240" i="82"/>
  <c r="S240" i="82"/>
  <c r="Q241" i="82"/>
  <c r="R241" i="82"/>
  <c r="S241" i="82"/>
  <c r="Q242" i="82"/>
  <c r="R242" i="82"/>
  <c r="S242" i="82"/>
  <c r="Q243" i="82"/>
  <c r="R243" i="82"/>
  <c r="S243" i="82"/>
  <c r="Q244" i="82"/>
  <c r="R244" i="82"/>
  <c r="S244" i="82"/>
  <c r="Q245" i="82"/>
  <c r="R245" i="82"/>
  <c r="S245" i="82"/>
  <c r="Q246" i="82"/>
  <c r="R246" i="82"/>
  <c r="S246" i="82"/>
  <c r="Q247" i="82"/>
  <c r="R247" i="82"/>
  <c r="S247" i="82"/>
  <c r="Q248" i="82"/>
  <c r="R248" i="82"/>
  <c r="S248" i="82"/>
  <c r="Q249" i="82"/>
  <c r="R249" i="82"/>
  <c r="S249" i="82"/>
  <c r="Q250" i="82"/>
  <c r="R250" i="82"/>
  <c r="S250" i="82"/>
  <c r="Q251" i="82"/>
  <c r="R251" i="82"/>
  <c r="S251" i="82"/>
  <c r="Q252" i="82"/>
  <c r="R252" i="82"/>
  <c r="S252" i="82"/>
  <c r="Q253" i="82"/>
  <c r="R253" i="82"/>
  <c r="S253" i="82"/>
  <c r="Q254" i="82"/>
  <c r="R254" i="82"/>
  <c r="S254" i="82"/>
  <c r="Q255" i="82"/>
  <c r="R255" i="82"/>
  <c r="S255" i="82"/>
  <c r="Q256" i="82"/>
  <c r="R256" i="82"/>
  <c r="S256" i="82"/>
  <c r="Q257" i="82"/>
  <c r="R257" i="82"/>
  <c r="S257" i="82"/>
  <c r="Q258" i="82"/>
  <c r="R258" i="82"/>
  <c r="S258" i="82"/>
  <c r="Q259" i="82"/>
  <c r="R259" i="82"/>
  <c r="S259" i="82"/>
  <c r="Q260" i="82"/>
  <c r="R260" i="82"/>
  <c r="S260" i="82"/>
  <c r="Q261" i="82"/>
  <c r="R261" i="82"/>
  <c r="S261" i="82"/>
  <c r="Q262" i="82"/>
  <c r="R262" i="82"/>
  <c r="S262" i="82"/>
  <c r="Q263" i="82"/>
  <c r="R263" i="82"/>
  <c r="S263" i="82"/>
  <c r="Q264" i="82"/>
  <c r="R264" i="82"/>
  <c r="S264" i="82"/>
  <c r="Q265" i="82"/>
  <c r="R265" i="82"/>
  <c r="S265" i="82"/>
  <c r="Q266" i="82"/>
  <c r="R266" i="82"/>
  <c r="S266" i="82"/>
  <c r="Q267" i="82"/>
  <c r="R267" i="82"/>
  <c r="S267" i="82"/>
  <c r="Q268" i="82"/>
  <c r="R268" i="82"/>
  <c r="S268" i="82"/>
  <c r="Q269" i="82"/>
  <c r="R269" i="82"/>
  <c r="S269" i="82"/>
  <c r="Q270" i="82"/>
  <c r="R270" i="82"/>
  <c r="S270" i="82"/>
  <c r="Q271" i="82"/>
  <c r="R271" i="82"/>
  <c r="S271" i="82"/>
  <c r="Q272" i="82"/>
  <c r="R272" i="82"/>
  <c r="S272" i="82"/>
  <c r="Q273" i="82"/>
  <c r="R273" i="82"/>
  <c r="S273" i="82"/>
  <c r="Q274" i="82"/>
  <c r="R274" i="82"/>
  <c r="S274" i="82"/>
  <c r="Q275" i="82"/>
  <c r="R275" i="82"/>
  <c r="S275" i="82"/>
  <c r="Q276" i="82"/>
  <c r="R276" i="82"/>
  <c r="S276" i="82"/>
  <c r="Q277" i="82"/>
  <c r="R277" i="82"/>
  <c r="S277" i="82"/>
  <c r="Q278" i="82"/>
  <c r="R278" i="82"/>
  <c r="S278" i="82"/>
  <c r="Q279" i="82"/>
  <c r="R279" i="82"/>
  <c r="S279" i="82"/>
  <c r="Q280" i="82"/>
  <c r="R280" i="82"/>
  <c r="S280" i="82"/>
  <c r="Q281" i="82"/>
  <c r="R281" i="82"/>
  <c r="S281" i="82"/>
  <c r="Q282" i="82"/>
  <c r="R282" i="82"/>
  <c r="S282" i="82"/>
  <c r="Q283" i="82"/>
  <c r="R283" i="82"/>
  <c r="S283" i="82"/>
  <c r="Q284" i="82"/>
  <c r="R284" i="82"/>
  <c r="S284" i="82"/>
  <c r="Q285" i="82"/>
  <c r="R285" i="82"/>
  <c r="S285" i="82"/>
  <c r="Q286" i="82"/>
  <c r="R286" i="82"/>
  <c r="S286" i="82"/>
  <c r="Q287" i="82"/>
  <c r="R287" i="82"/>
  <c r="S287" i="82"/>
  <c r="Q288" i="82"/>
  <c r="R288" i="82"/>
  <c r="S288" i="82"/>
  <c r="Q289" i="82"/>
  <c r="R289" i="82"/>
  <c r="S289" i="82"/>
  <c r="Q290" i="82"/>
  <c r="R290" i="82"/>
  <c r="S290" i="82"/>
  <c r="Q291" i="82"/>
  <c r="R291" i="82"/>
  <c r="S291" i="82"/>
  <c r="Q292" i="82"/>
  <c r="R292" i="82"/>
  <c r="S292" i="82"/>
  <c r="Q293" i="82"/>
  <c r="R293" i="82"/>
  <c r="S293" i="82"/>
  <c r="Q294" i="82"/>
  <c r="R294" i="82"/>
  <c r="S294" i="82"/>
  <c r="Q295" i="82"/>
  <c r="R295" i="82"/>
  <c r="S295" i="82"/>
  <c r="Q296" i="82"/>
  <c r="R296" i="82"/>
  <c r="S296" i="82"/>
  <c r="Q297" i="82"/>
  <c r="R297" i="82"/>
  <c r="S297" i="82"/>
  <c r="Q298" i="82"/>
  <c r="R298" i="82"/>
  <c r="S298" i="82"/>
  <c r="Q299" i="82"/>
  <c r="R299" i="82"/>
  <c r="S299" i="82"/>
  <c r="Q300" i="82"/>
  <c r="R300" i="82"/>
  <c r="S300" i="82"/>
  <c r="Q301" i="82"/>
  <c r="R301" i="82"/>
  <c r="S301" i="82"/>
  <c r="Q302" i="82"/>
  <c r="R302" i="82"/>
  <c r="S302" i="82"/>
  <c r="Q303" i="82"/>
  <c r="R303" i="82"/>
  <c r="S303" i="82"/>
  <c r="Q304" i="82"/>
  <c r="R304" i="82"/>
  <c r="S304" i="82"/>
  <c r="Q305" i="82"/>
  <c r="R305" i="82"/>
  <c r="S305" i="82"/>
  <c r="Q306" i="82"/>
  <c r="R306" i="82"/>
  <c r="S306" i="82"/>
  <c r="Q307" i="82"/>
  <c r="R307" i="82"/>
  <c r="S307" i="82"/>
  <c r="Q308" i="82"/>
  <c r="R308" i="82"/>
  <c r="S308" i="82"/>
  <c r="Q309" i="82"/>
  <c r="R309" i="82"/>
  <c r="S309" i="82"/>
  <c r="Q310" i="82"/>
  <c r="R310" i="82"/>
  <c r="S310" i="82"/>
  <c r="Q311" i="82"/>
  <c r="R311" i="82"/>
  <c r="S311" i="82"/>
  <c r="Q312" i="82"/>
  <c r="R312" i="82"/>
  <c r="S312" i="82"/>
  <c r="Q313" i="82"/>
  <c r="R313" i="82"/>
  <c r="S313" i="82"/>
  <c r="Q314" i="82"/>
  <c r="R314" i="82"/>
  <c r="S314" i="82"/>
  <c r="Q315" i="82"/>
  <c r="R315" i="82"/>
  <c r="S315" i="82"/>
  <c r="Q316" i="82"/>
  <c r="R316" i="82"/>
  <c r="S316" i="82"/>
  <c r="Q317" i="82"/>
  <c r="R317" i="82"/>
  <c r="S317" i="82"/>
  <c r="Q318" i="82"/>
  <c r="R318" i="82"/>
  <c r="S318" i="82"/>
  <c r="Q319" i="82"/>
  <c r="R319" i="82"/>
  <c r="S319" i="82"/>
  <c r="Q320" i="82"/>
  <c r="R320" i="82"/>
  <c r="S320" i="82"/>
  <c r="Q321" i="82"/>
  <c r="R321" i="82"/>
  <c r="S321" i="82"/>
  <c r="Q322" i="82"/>
  <c r="R322" i="82"/>
  <c r="S322" i="82"/>
  <c r="Q323" i="82"/>
  <c r="R323" i="82"/>
  <c r="S323" i="82"/>
  <c r="Q324" i="82"/>
  <c r="R324" i="82"/>
  <c r="S324" i="82"/>
  <c r="Q325" i="82"/>
  <c r="R325" i="82"/>
  <c r="S325" i="82"/>
  <c r="Q326" i="82"/>
  <c r="R326" i="82"/>
  <c r="S326" i="82"/>
  <c r="Q327" i="82"/>
  <c r="R327" i="82"/>
  <c r="S327" i="82"/>
  <c r="Q328" i="82"/>
  <c r="R328" i="82"/>
  <c r="S328" i="82"/>
  <c r="Q329" i="82"/>
  <c r="R329" i="82"/>
  <c r="S329" i="82"/>
  <c r="Q330" i="82"/>
  <c r="R330" i="82"/>
  <c r="S330" i="82"/>
  <c r="Q331" i="82"/>
  <c r="R331" i="82"/>
  <c r="S331" i="82"/>
  <c r="Q332" i="82"/>
  <c r="R332" i="82"/>
  <c r="S332" i="82"/>
  <c r="Q333" i="82"/>
  <c r="R333" i="82"/>
  <c r="S333" i="82"/>
  <c r="Q334" i="82"/>
  <c r="R334" i="82"/>
  <c r="S334" i="82"/>
  <c r="Q335" i="82"/>
  <c r="R335" i="82"/>
  <c r="S335" i="82"/>
  <c r="Q336" i="82"/>
  <c r="R336" i="82"/>
  <c r="S336" i="82"/>
  <c r="Q337" i="82"/>
  <c r="R337" i="82"/>
  <c r="S337" i="82"/>
  <c r="Q338" i="82"/>
  <c r="R338" i="82"/>
  <c r="S338" i="82"/>
  <c r="Q339" i="82"/>
  <c r="R339" i="82"/>
  <c r="S339" i="82"/>
  <c r="Q340" i="82"/>
  <c r="R340" i="82"/>
  <c r="S340" i="82"/>
  <c r="Q341" i="82"/>
  <c r="R341" i="82"/>
  <c r="S341" i="82"/>
  <c r="Q342" i="82"/>
  <c r="R342" i="82"/>
  <c r="S342" i="82"/>
  <c r="Q343" i="82"/>
  <c r="R343" i="82"/>
  <c r="S343" i="82"/>
  <c r="Q344" i="82"/>
  <c r="R344" i="82"/>
  <c r="S344" i="82"/>
  <c r="Q345" i="82"/>
  <c r="R345" i="82"/>
  <c r="S345" i="82"/>
  <c r="Q346" i="82"/>
  <c r="R346" i="82"/>
  <c r="S346" i="82"/>
  <c r="Q347" i="82"/>
  <c r="R347" i="82"/>
  <c r="S347" i="82"/>
  <c r="Q348" i="82"/>
  <c r="R348" i="82"/>
  <c r="S348" i="82"/>
  <c r="Q349" i="82"/>
  <c r="R349" i="82"/>
  <c r="S349" i="82"/>
  <c r="Q350" i="82"/>
  <c r="R350" i="82"/>
  <c r="S350" i="82"/>
  <c r="Q351" i="82"/>
  <c r="R351" i="82"/>
  <c r="S351" i="82"/>
  <c r="Q352" i="82"/>
  <c r="R352" i="82"/>
  <c r="S352" i="82"/>
  <c r="Q353" i="82"/>
  <c r="R353" i="82"/>
  <c r="S353" i="82"/>
  <c r="Q354" i="82"/>
  <c r="R354" i="82"/>
  <c r="S354" i="82"/>
  <c r="Q355" i="82"/>
  <c r="R355" i="82"/>
  <c r="S355" i="82"/>
  <c r="Q356" i="82"/>
  <c r="R356" i="82"/>
  <c r="S356" i="82"/>
  <c r="Q357" i="82"/>
  <c r="R357" i="82"/>
  <c r="S357" i="82"/>
  <c r="Q358" i="82"/>
  <c r="R358" i="82"/>
  <c r="S358" i="82"/>
  <c r="Q359" i="82"/>
  <c r="R359" i="82"/>
  <c r="S359" i="82"/>
  <c r="Q360" i="82"/>
  <c r="R360" i="82"/>
  <c r="S360" i="82"/>
  <c r="Q361" i="82"/>
  <c r="R361" i="82"/>
  <c r="S361" i="82"/>
  <c r="Q362" i="82"/>
  <c r="R362" i="82"/>
  <c r="S362" i="82"/>
  <c r="Q363" i="82"/>
  <c r="R363" i="82"/>
  <c r="S363" i="82"/>
  <c r="Q364" i="82"/>
  <c r="R364" i="82"/>
  <c r="S364" i="82"/>
  <c r="Q365" i="82"/>
  <c r="R365" i="82"/>
  <c r="S365" i="82"/>
  <c r="Q366" i="82"/>
  <c r="R366" i="82"/>
  <c r="S366" i="82"/>
  <c r="Q367" i="82"/>
  <c r="R367" i="82"/>
  <c r="S367" i="82"/>
  <c r="Q368" i="82"/>
  <c r="R368" i="82"/>
  <c r="S368" i="82"/>
  <c r="Q369" i="82"/>
  <c r="R369" i="82"/>
  <c r="S369" i="82"/>
  <c r="Q370" i="82"/>
  <c r="R370" i="82"/>
  <c r="S370" i="82"/>
  <c r="Q371" i="82"/>
  <c r="R371" i="82"/>
  <c r="S371" i="82"/>
  <c r="Q372" i="82"/>
  <c r="R372" i="82"/>
  <c r="S372" i="82"/>
  <c r="Q373" i="82"/>
  <c r="R373" i="82"/>
  <c r="S373" i="82"/>
  <c r="Q374" i="82"/>
  <c r="R374" i="82"/>
  <c r="S374" i="82"/>
  <c r="Q375" i="82"/>
  <c r="R375" i="82"/>
  <c r="S375" i="82"/>
  <c r="Q376" i="82"/>
  <c r="R376" i="82"/>
  <c r="S376" i="82"/>
  <c r="Q377" i="82"/>
  <c r="R377" i="82"/>
  <c r="S377" i="82"/>
  <c r="Q378" i="82"/>
  <c r="R378" i="82"/>
  <c r="S378" i="82"/>
  <c r="Q379" i="82"/>
  <c r="R379" i="82"/>
  <c r="S379" i="82"/>
  <c r="Q380" i="82"/>
  <c r="R380" i="82"/>
  <c r="S380" i="82"/>
  <c r="Q381" i="82"/>
  <c r="R381" i="82"/>
  <c r="S381" i="82"/>
  <c r="Q382" i="82"/>
  <c r="R382" i="82"/>
  <c r="S382" i="82"/>
  <c r="Q383" i="82"/>
  <c r="R383" i="82"/>
  <c r="S383" i="82"/>
  <c r="Q384" i="82"/>
  <c r="R384" i="82"/>
  <c r="S384" i="82"/>
  <c r="Q385" i="82"/>
  <c r="R385" i="82"/>
  <c r="S385" i="82"/>
  <c r="Q386" i="82"/>
  <c r="R386" i="82"/>
  <c r="S386" i="82"/>
  <c r="Q387" i="82"/>
  <c r="R387" i="82"/>
  <c r="S387" i="82"/>
  <c r="Q388" i="82"/>
  <c r="R388" i="82"/>
  <c r="S388" i="82"/>
  <c r="Q389" i="82"/>
  <c r="R389" i="82"/>
  <c r="S389" i="82"/>
  <c r="Q390" i="82"/>
  <c r="R390" i="82"/>
  <c r="S390" i="82"/>
  <c r="Q391" i="82"/>
  <c r="R391" i="82"/>
  <c r="S391" i="82"/>
  <c r="Q392" i="82"/>
  <c r="R392" i="82"/>
  <c r="S392" i="82"/>
  <c r="Q393" i="82"/>
  <c r="R393" i="82"/>
  <c r="S393" i="82"/>
  <c r="Q394" i="82"/>
  <c r="R394" i="82"/>
  <c r="S394" i="82"/>
  <c r="Q395" i="82"/>
  <c r="R395" i="82"/>
  <c r="S395" i="82"/>
  <c r="Q396" i="82"/>
  <c r="R396" i="82"/>
  <c r="S396" i="82"/>
  <c r="Q397" i="82"/>
  <c r="R397" i="82"/>
  <c r="S397" i="82"/>
  <c r="Q398" i="82"/>
  <c r="R398" i="82"/>
  <c r="S398" i="82"/>
  <c r="Q399" i="82"/>
  <c r="R399" i="82"/>
  <c r="S399" i="82"/>
  <c r="Q400" i="82"/>
  <c r="R400" i="82"/>
  <c r="S400" i="82"/>
  <c r="Q401" i="82"/>
  <c r="R401" i="82"/>
  <c r="S401" i="82"/>
  <c r="Q402" i="82"/>
  <c r="R402" i="82"/>
  <c r="S402" i="82"/>
  <c r="Q403" i="82"/>
  <c r="R403" i="82"/>
  <c r="S403" i="82"/>
  <c r="Q404" i="82"/>
  <c r="R404" i="82"/>
  <c r="S404" i="82"/>
  <c r="Q405" i="82"/>
  <c r="R405" i="82"/>
  <c r="S405" i="82"/>
  <c r="Q406" i="82"/>
  <c r="R406" i="82"/>
  <c r="S406" i="82"/>
  <c r="Q407" i="82"/>
  <c r="R407" i="82"/>
  <c r="S407" i="82"/>
  <c r="Q408" i="82"/>
  <c r="R408" i="82"/>
  <c r="S408" i="82"/>
  <c r="Q409" i="82"/>
  <c r="R409" i="82"/>
  <c r="S409" i="82"/>
  <c r="Q410" i="82"/>
  <c r="R410" i="82"/>
  <c r="S410" i="82"/>
  <c r="Q411" i="82"/>
  <c r="R411" i="82"/>
  <c r="S411" i="82"/>
  <c r="Q412" i="82"/>
  <c r="R412" i="82"/>
  <c r="S412" i="82"/>
  <c r="Q413" i="82"/>
  <c r="R413" i="82"/>
  <c r="S413" i="82"/>
  <c r="Q414" i="82"/>
  <c r="R414" i="82"/>
  <c r="S414" i="82"/>
  <c r="Q415" i="82"/>
  <c r="R415" i="82"/>
  <c r="S415" i="82"/>
  <c r="Q416" i="82"/>
  <c r="R416" i="82"/>
  <c r="S416" i="82"/>
  <c r="Q417" i="82"/>
  <c r="R417" i="82"/>
  <c r="S417" i="82"/>
  <c r="Q418" i="82"/>
  <c r="R418" i="82"/>
  <c r="S418" i="82"/>
  <c r="Q419" i="82"/>
  <c r="R419" i="82"/>
  <c r="S419" i="82"/>
  <c r="Q420" i="82"/>
  <c r="R420" i="82"/>
  <c r="S420" i="82"/>
  <c r="Q421" i="82"/>
  <c r="R421" i="82"/>
  <c r="S421" i="82"/>
  <c r="Q422" i="82"/>
  <c r="R422" i="82"/>
  <c r="S422" i="82"/>
  <c r="Q423" i="82"/>
  <c r="R423" i="82"/>
  <c r="S423" i="82"/>
  <c r="Q424" i="82"/>
  <c r="R424" i="82"/>
  <c r="S424" i="82"/>
  <c r="Q425" i="82"/>
  <c r="R425" i="82"/>
  <c r="S425" i="82"/>
  <c r="Q426" i="82"/>
  <c r="R426" i="82"/>
  <c r="S426" i="82"/>
  <c r="Q427" i="82"/>
  <c r="R427" i="82"/>
  <c r="S427" i="82"/>
  <c r="Q428" i="82"/>
  <c r="R428" i="82"/>
  <c r="S428" i="82"/>
  <c r="Q429" i="82"/>
  <c r="R429" i="82"/>
  <c r="S429" i="82"/>
  <c r="Q430" i="82"/>
  <c r="R430" i="82"/>
  <c r="S430" i="82"/>
  <c r="Q431" i="82"/>
  <c r="R431" i="82"/>
  <c r="S431" i="82"/>
  <c r="Q432" i="82"/>
  <c r="R432" i="82"/>
  <c r="S432" i="82"/>
  <c r="Q433" i="82"/>
  <c r="R433" i="82"/>
  <c r="S433" i="82"/>
  <c r="Q434" i="82"/>
  <c r="R434" i="82"/>
  <c r="S434" i="82"/>
  <c r="Q435" i="82"/>
  <c r="R435" i="82"/>
  <c r="S435" i="82"/>
  <c r="Q436" i="82"/>
  <c r="R436" i="82"/>
  <c r="S436" i="82"/>
  <c r="Q437" i="82"/>
  <c r="R437" i="82"/>
  <c r="S437" i="82"/>
  <c r="Q438" i="82"/>
  <c r="R438" i="82"/>
  <c r="S438" i="82"/>
  <c r="Q439" i="82"/>
  <c r="R439" i="82"/>
  <c r="S439" i="82"/>
  <c r="Q440" i="82"/>
  <c r="R440" i="82"/>
  <c r="S440" i="82"/>
  <c r="Q441" i="82"/>
  <c r="R441" i="82"/>
  <c r="S441" i="82"/>
  <c r="Q442" i="82"/>
  <c r="R442" i="82"/>
  <c r="S442" i="82"/>
  <c r="Q443" i="82"/>
  <c r="R443" i="82"/>
  <c r="S443" i="82"/>
  <c r="Q444" i="82"/>
  <c r="R444" i="82"/>
  <c r="S444" i="82"/>
  <c r="Q445" i="82"/>
  <c r="R445" i="82"/>
  <c r="S445" i="82"/>
  <c r="Q446" i="82"/>
  <c r="R446" i="82"/>
  <c r="S446" i="82"/>
  <c r="Q447" i="82"/>
  <c r="R447" i="82"/>
  <c r="S447" i="82"/>
  <c r="Q448" i="82"/>
  <c r="R448" i="82"/>
  <c r="S448" i="82"/>
  <c r="Q449" i="82"/>
  <c r="R449" i="82"/>
  <c r="S449" i="82"/>
  <c r="Q450" i="82"/>
  <c r="R450" i="82"/>
  <c r="S450" i="82"/>
  <c r="Q451" i="82"/>
  <c r="R451" i="82"/>
  <c r="S451" i="82"/>
  <c r="Q452" i="82"/>
  <c r="R452" i="82"/>
  <c r="S452" i="82"/>
  <c r="Q453" i="82"/>
  <c r="R453" i="82"/>
  <c r="S453" i="82"/>
  <c r="Q454" i="82"/>
  <c r="R454" i="82"/>
  <c r="S454" i="82"/>
  <c r="Q455" i="82"/>
  <c r="R455" i="82"/>
  <c r="S455" i="82"/>
  <c r="Q456" i="82"/>
  <c r="R456" i="82"/>
  <c r="S456" i="82"/>
  <c r="Q457" i="82"/>
  <c r="R457" i="82"/>
  <c r="S457" i="82"/>
  <c r="Q458" i="82"/>
  <c r="R458" i="82"/>
  <c r="S458" i="82"/>
  <c r="Q459" i="82"/>
  <c r="R459" i="82"/>
  <c r="S459" i="82"/>
  <c r="Q460" i="82"/>
  <c r="R460" i="82"/>
  <c r="S460" i="82"/>
  <c r="Q461" i="82"/>
  <c r="R461" i="82"/>
  <c r="S461" i="82"/>
  <c r="Q462" i="82"/>
  <c r="R462" i="82"/>
  <c r="S462" i="82"/>
  <c r="Q463" i="82"/>
  <c r="R463" i="82"/>
  <c r="S463" i="82"/>
  <c r="Q464" i="82"/>
  <c r="R464" i="82"/>
  <c r="S464" i="82"/>
  <c r="Q465" i="82"/>
  <c r="R465" i="82"/>
  <c r="S465" i="82"/>
  <c r="Q466" i="82"/>
  <c r="R466" i="82"/>
  <c r="S466" i="82"/>
  <c r="Q467" i="82"/>
  <c r="R467" i="82"/>
  <c r="S467" i="82"/>
  <c r="Q468" i="82"/>
  <c r="R468" i="82"/>
  <c r="S468" i="82"/>
  <c r="Q469" i="82"/>
  <c r="R469" i="82"/>
  <c r="S469" i="82"/>
  <c r="Q470" i="82"/>
  <c r="R470" i="82"/>
  <c r="S470" i="82"/>
  <c r="Q471" i="82"/>
  <c r="R471" i="82"/>
  <c r="S471" i="82"/>
  <c r="Q472" i="82"/>
  <c r="R472" i="82"/>
  <c r="S472" i="82"/>
  <c r="Q473" i="82"/>
  <c r="R473" i="82"/>
  <c r="S473" i="82"/>
  <c r="Q474" i="82"/>
  <c r="R474" i="82"/>
  <c r="S474" i="82"/>
  <c r="Q475" i="82"/>
  <c r="R475" i="82"/>
  <c r="S475" i="82"/>
  <c r="Q476" i="82"/>
  <c r="R476" i="82"/>
  <c r="S476" i="82"/>
  <c r="Q477" i="82"/>
  <c r="R477" i="82"/>
  <c r="S477" i="82"/>
  <c r="Q478" i="82"/>
  <c r="R478" i="82"/>
  <c r="S478" i="82"/>
  <c r="Q479" i="82"/>
  <c r="R479" i="82"/>
  <c r="S479" i="82"/>
  <c r="Q480" i="82"/>
  <c r="R480" i="82"/>
  <c r="S480" i="82"/>
  <c r="Q481" i="82"/>
  <c r="R481" i="82"/>
  <c r="S481" i="82"/>
  <c r="Q482" i="82"/>
  <c r="R482" i="82"/>
  <c r="S482" i="82"/>
  <c r="Q483" i="82"/>
  <c r="R483" i="82"/>
  <c r="S483" i="82"/>
  <c r="Q484" i="82"/>
  <c r="R484" i="82"/>
  <c r="S484" i="82"/>
  <c r="Q485" i="82"/>
  <c r="R485" i="82"/>
  <c r="S485" i="82"/>
  <c r="Q486" i="82"/>
  <c r="R486" i="82"/>
  <c r="S486" i="82"/>
  <c r="Q487" i="82"/>
  <c r="R487" i="82"/>
  <c r="S487" i="82"/>
  <c r="Q488" i="82"/>
  <c r="R488" i="82"/>
  <c r="S488" i="82"/>
  <c r="Q489" i="82"/>
  <c r="R489" i="82"/>
  <c r="S489" i="82"/>
  <c r="Q490" i="82"/>
  <c r="R490" i="82"/>
  <c r="S490" i="82"/>
  <c r="Q491" i="82"/>
  <c r="R491" i="82"/>
  <c r="S491" i="82"/>
  <c r="Q492" i="82"/>
  <c r="R492" i="82"/>
  <c r="S492" i="82"/>
  <c r="Q493" i="82"/>
  <c r="R493" i="82"/>
  <c r="S493" i="82"/>
  <c r="Q494" i="82"/>
  <c r="R494" i="82"/>
  <c r="S494" i="82"/>
  <c r="Q495" i="82"/>
  <c r="R495" i="82"/>
  <c r="S495" i="82"/>
  <c r="Q496" i="82"/>
  <c r="R496" i="82"/>
  <c r="S496" i="82"/>
  <c r="Q497" i="82"/>
  <c r="R497" i="82"/>
  <c r="S497" i="82"/>
  <c r="Q498" i="82"/>
  <c r="R498" i="82"/>
  <c r="S498" i="82"/>
  <c r="Q499" i="82"/>
  <c r="R499" i="82"/>
  <c r="S499" i="82"/>
  <c r="Q500" i="82"/>
  <c r="R500" i="82"/>
  <c r="S500" i="82"/>
  <c r="Q501" i="82"/>
  <c r="R501" i="82"/>
  <c r="S501" i="82"/>
  <c r="Q502" i="82"/>
  <c r="R502" i="82"/>
  <c r="S502" i="82"/>
  <c r="Q503" i="82"/>
  <c r="R503" i="82"/>
  <c r="S503" i="82"/>
  <c r="Q504" i="82"/>
  <c r="R504" i="82"/>
  <c r="S504" i="82"/>
  <c r="Q505" i="82"/>
  <c r="R505" i="82"/>
  <c r="S505" i="82"/>
  <c r="Q506" i="82"/>
  <c r="R506" i="82"/>
  <c r="S506" i="82"/>
  <c r="Q507" i="82"/>
  <c r="R507" i="82"/>
  <c r="S507" i="82"/>
  <c r="Q508" i="82"/>
  <c r="R508" i="82"/>
  <c r="S508" i="82"/>
  <c r="Q509" i="82"/>
  <c r="R509" i="82"/>
  <c r="S509" i="82"/>
  <c r="Q510" i="82"/>
  <c r="R510" i="82"/>
  <c r="S510" i="82"/>
  <c r="Q511" i="82"/>
  <c r="R511" i="82"/>
  <c r="S511" i="82"/>
  <c r="Q512" i="82"/>
  <c r="R512" i="82"/>
  <c r="S512" i="82"/>
  <c r="Q513" i="82"/>
  <c r="R513" i="82"/>
  <c r="S513" i="82"/>
  <c r="Q514" i="82"/>
  <c r="R514" i="82"/>
  <c r="S514" i="82"/>
  <c r="Q515" i="82"/>
  <c r="R515" i="82"/>
  <c r="S515" i="82"/>
  <c r="Q516" i="82"/>
  <c r="R516" i="82"/>
  <c r="S516" i="82"/>
  <c r="Q517" i="82"/>
  <c r="R517" i="82"/>
  <c r="S517" i="82"/>
  <c r="Q518" i="82"/>
  <c r="R518" i="82"/>
  <c r="S518" i="82"/>
  <c r="Q519" i="82"/>
  <c r="R519" i="82"/>
  <c r="S519" i="82"/>
  <c r="Q520" i="82"/>
  <c r="R520" i="82"/>
  <c r="S520" i="82"/>
  <c r="Q521" i="82"/>
  <c r="R521" i="82"/>
  <c r="S521" i="82"/>
  <c r="Q522" i="82"/>
  <c r="R522" i="82"/>
  <c r="S522" i="82"/>
  <c r="Q523" i="82"/>
  <c r="R523" i="82"/>
  <c r="S523" i="82"/>
  <c r="Q524" i="82"/>
  <c r="R524" i="82"/>
  <c r="S524" i="82"/>
  <c r="Q525" i="82"/>
  <c r="R525" i="82"/>
  <c r="S525" i="82"/>
  <c r="Q526" i="82"/>
  <c r="R526" i="82"/>
  <c r="S526" i="82"/>
  <c r="Q527" i="82"/>
  <c r="R527" i="82"/>
  <c r="S527" i="82"/>
  <c r="Q528" i="82"/>
  <c r="R528" i="82"/>
  <c r="S528" i="82"/>
  <c r="Q529" i="82"/>
  <c r="R529" i="82"/>
  <c r="S529" i="82"/>
  <c r="Q530" i="82"/>
  <c r="R530" i="82"/>
  <c r="S530" i="82"/>
  <c r="Q531" i="82"/>
  <c r="R531" i="82"/>
  <c r="S531" i="82"/>
  <c r="Q532" i="82"/>
  <c r="R532" i="82"/>
  <c r="S532" i="82"/>
  <c r="Q533" i="82"/>
  <c r="R533" i="82"/>
  <c r="S533" i="82"/>
  <c r="Q534" i="82"/>
  <c r="R534" i="82"/>
  <c r="S534" i="82"/>
  <c r="Q535" i="82"/>
  <c r="R535" i="82"/>
  <c r="S535" i="82"/>
  <c r="Q536" i="82"/>
  <c r="R536" i="82"/>
  <c r="S536" i="82"/>
  <c r="Q537" i="82"/>
  <c r="R537" i="82"/>
  <c r="S537" i="82"/>
  <c r="Q538" i="82"/>
  <c r="R538" i="82"/>
  <c r="S538" i="82"/>
  <c r="Q539" i="82"/>
  <c r="R539" i="82"/>
  <c r="S539" i="82"/>
  <c r="Q540" i="82"/>
  <c r="R540" i="82"/>
  <c r="S540" i="82"/>
  <c r="Q541" i="82"/>
  <c r="R541" i="82"/>
  <c r="S541" i="82"/>
  <c r="Q542" i="82"/>
  <c r="R542" i="82"/>
  <c r="S542" i="82"/>
  <c r="Q543" i="82"/>
  <c r="R543" i="82"/>
  <c r="S543" i="82"/>
  <c r="Q544" i="82"/>
  <c r="R544" i="82"/>
  <c r="S544" i="82"/>
  <c r="Q545" i="82"/>
  <c r="R545" i="82"/>
  <c r="S545" i="82"/>
  <c r="Q546" i="82"/>
  <c r="R546" i="82"/>
  <c r="S546" i="82"/>
  <c r="Q547" i="82"/>
  <c r="R547" i="82"/>
  <c r="S547" i="82"/>
  <c r="Q548" i="82"/>
  <c r="R548" i="82"/>
  <c r="S548" i="82"/>
  <c r="Q549" i="82"/>
  <c r="R549" i="82"/>
  <c r="S549" i="82"/>
  <c r="Q550" i="82"/>
  <c r="R550" i="82"/>
  <c r="S550" i="82"/>
  <c r="Q551" i="82"/>
  <c r="R551" i="82"/>
  <c r="S551" i="82"/>
  <c r="Q552" i="82"/>
  <c r="R552" i="82"/>
  <c r="S552" i="82"/>
  <c r="Q553" i="82"/>
  <c r="R553" i="82"/>
  <c r="S553" i="82"/>
  <c r="Q554" i="82"/>
  <c r="R554" i="82"/>
  <c r="S554" i="82"/>
  <c r="Q555" i="82"/>
  <c r="R555" i="82"/>
  <c r="S555" i="82"/>
  <c r="Q556" i="82"/>
  <c r="R556" i="82"/>
  <c r="S556" i="82"/>
  <c r="Q557" i="82"/>
  <c r="R557" i="82"/>
  <c r="S557" i="82"/>
  <c r="Q558" i="82"/>
  <c r="R558" i="82"/>
  <c r="S558" i="82"/>
  <c r="Q559" i="82"/>
  <c r="R559" i="82"/>
  <c r="S559" i="82"/>
  <c r="Q560" i="82"/>
  <c r="R560" i="82"/>
  <c r="S560" i="82"/>
  <c r="Q561" i="82"/>
  <c r="R561" i="82"/>
  <c r="S561" i="82"/>
  <c r="Q562" i="82"/>
  <c r="R562" i="82"/>
  <c r="S562" i="82"/>
  <c r="Q563" i="82"/>
  <c r="R563" i="82"/>
  <c r="S563" i="82"/>
  <c r="Q564" i="82"/>
  <c r="R564" i="82"/>
  <c r="S564" i="82"/>
  <c r="Q565" i="82"/>
  <c r="R565" i="82"/>
  <c r="S565" i="82"/>
  <c r="Q566" i="82"/>
  <c r="R566" i="82"/>
  <c r="S566" i="82"/>
  <c r="Q567" i="82"/>
  <c r="R567" i="82"/>
  <c r="S567" i="82"/>
  <c r="Q568" i="82"/>
  <c r="R568" i="82"/>
  <c r="S568" i="82"/>
  <c r="Q569" i="82"/>
  <c r="R569" i="82"/>
  <c r="S569" i="82"/>
  <c r="Q570" i="82"/>
  <c r="R570" i="82"/>
  <c r="S570" i="82"/>
  <c r="Q571" i="82"/>
  <c r="R571" i="82"/>
  <c r="S571" i="82"/>
  <c r="Q572" i="82"/>
  <c r="R572" i="82"/>
  <c r="S572" i="82"/>
  <c r="Q573" i="82"/>
  <c r="R573" i="82"/>
  <c r="S573" i="82"/>
  <c r="Q574" i="82"/>
  <c r="R574" i="82"/>
  <c r="S574" i="82"/>
  <c r="Q575" i="82"/>
  <c r="R575" i="82"/>
  <c r="S575" i="82"/>
  <c r="Q576" i="82"/>
  <c r="R576" i="82"/>
  <c r="S576" i="82"/>
  <c r="Q577" i="82"/>
  <c r="R577" i="82"/>
  <c r="S577" i="82"/>
  <c r="Q578" i="82"/>
  <c r="R578" i="82"/>
  <c r="S578" i="82"/>
  <c r="Q579" i="82"/>
  <c r="R579" i="82"/>
  <c r="S579" i="82"/>
  <c r="Q580" i="82"/>
  <c r="R580" i="82"/>
  <c r="S580" i="82"/>
  <c r="Q581" i="82"/>
  <c r="R581" i="82"/>
  <c r="S581" i="82"/>
  <c r="Q582" i="82"/>
  <c r="R582" i="82"/>
  <c r="S582" i="82"/>
  <c r="Q583" i="82"/>
  <c r="R583" i="82"/>
  <c r="S583" i="82"/>
  <c r="Q584" i="82"/>
  <c r="R584" i="82"/>
  <c r="S584" i="82"/>
  <c r="Q585" i="82"/>
  <c r="R585" i="82"/>
  <c r="S585" i="82"/>
  <c r="Q586" i="82"/>
  <c r="R586" i="82"/>
  <c r="S586" i="82"/>
  <c r="Q587" i="82"/>
  <c r="R587" i="82"/>
  <c r="S587" i="82"/>
  <c r="Q588" i="82"/>
  <c r="R588" i="82"/>
  <c r="S588" i="82"/>
  <c r="Q589" i="82"/>
  <c r="R589" i="82"/>
  <c r="S589" i="82"/>
  <c r="Q590" i="82"/>
  <c r="R590" i="82"/>
  <c r="S590" i="82"/>
  <c r="Q591" i="82"/>
  <c r="R591" i="82"/>
  <c r="S591" i="82"/>
  <c r="Q592" i="82"/>
  <c r="R592" i="82"/>
  <c r="S592" i="82"/>
  <c r="Q593" i="82"/>
  <c r="R593" i="82"/>
  <c r="S593" i="82"/>
  <c r="Q594" i="82"/>
  <c r="R594" i="82"/>
  <c r="S594" i="82"/>
  <c r="Q595" i="82"/>
  <c r="R595" i="82"/>
  <c r="S595" i="82"/>
  <c r="Q596" i="82"/>
  <c r="R596" i="82"/>
  <c r="S596" i="82"/>
  <c r="Q597" i="82"/>
  <c r="R597" i="82"/>
  <c r="S597" i="82"/>
  <c r="Q598" i="82"/>
  <c r="R598" i="82"/>
  <c r="S598" i="82"/>
  <c r="Q599" i="82"/>
  <c r="R599" i="82"/>
  <c r="S599" i="82"/>
  <c r="Q600" i="82"/>
  <c r="R600" i="82"/>
  <c r="S600" i="82"/>
  <c r="Q601" i="82"/>
  <c r="R601" i="82"/>
  <c r="S601" i="82"/>
  <c r="Q602" i="82"/>
  <c r="R602" i="82"/>
  <c r="S602" i="82"/>
  <c r="Q603" i="82"/>
  <c r="R603" i="82"/>
  <c r="S603" i="82"/>
  <c r="Q604" i="82"/>
  <c r="R604" i="82"/>
  <c r="S604" i="82"/>
  <c r="Q605" i="82"/>
  <c r="R605" i="82"/>
  <c r="S605" i="82"/>
  <c r="Q606" i="82"/>
  <c r="R606" i="82"/>
  <c r="S606" i="82"/>
  <c r="Q607" i="82"/>
  <c r="R607" i="82"/>
  <c r="S607" i="82"/>
  <c r="Q608" i="82"/>
  <c r="R608" i="82"/>
  <c r="S608" i="82"/>
  <c r="Q609" i="82"/>
  <c r="R609" i="82"/>
  <c r="S609" i="82"/>
  <c r="Q610" i="82"/>
  <c r="R610" i="82"/>
  <c r="S610" i="82"/>
  <c r="Q611" i="82"/>
  <c r="R611" i="82"/>
  <c r="S611" i="82"/>
  <c r="Q612" i="82"/>
  <c r="R612" i="82"/>
  <c r="S612" i="82"/>
  <c r="Q613" i="82"/>
  <c r="R613" i="82"/>
  <c r="S613" i="82"/>
  <c r="Q614" i="82"/>
  <c r="R614" i="82"/>
  <c r="S614" i="82"/>
  <c r="Q615" i="82"/>
  <c r="R615" i="82"/>
  <c r="S615" i="82"/>
  <c r="Q616" i="82"/>
  <c r="R616" i="82"/>
  <c r="S616" i="82"/>
  <c r="Q617" i="82"/>
  <c r="R617" i="82"/>
  <c r="S617" i="82"/>
  <c r="Q618" i="82"/>
  <c r="R618" i="82"/>
  <c r="S618" i="82"/>
  <c r="Q619" i="82"/>
  <c r="R619" i="82"/>
  <c r="S619" i="82"/>
  <c r="Q620" i="82"/>
  <c r="R620" i="82"/>
  <c r="S620" i="82"/>
  <c r="Q621" i="82"/>
  <c r="R621" i="82"/>
  <c r="S621" i="82"/>
  <c r="Q622" i="82"/>
  <c r="R622" i="82"/>
  <c r="S622" i="82"/>
  <c r="Q623" i="82"/>
  <c r="R623" i="82"/>
  <c r="S623" i="82"/>
  <c r="Q624" i="82"/>
  <c r="R624" i="82"/>
  <c r="S624" i="82"/>
  <c r="Q625" i="82"/>
  <c r="R625" i="82"/>
  <c r="S625" i="82"/>
  <c r="Q626" i="82"/>
  <c r="R626" i="82"/>
  <c r="S626" i="82"/>
  <c r="Q627" i="82"/>
  <c r="R627" i="82"/>
  <c r="S627" i="82"/>
  <c r="Q628" i="82"/>
  <c r="R628" i="82"/>
  <c r="S628" i="82"/>
  <c r="Q629" i="82"/>
  <c r="R629" i="82"/>
  <c r="S629" i="82"/>
  <c r="Q630" i="82"/>
  <c r="R630" i="82"/>
  <c r="S630" i="82"/>
  <c r="Q631" i="82"/>
  <c r="R631" i="82"/>
  <c r="S631" i="82"/>
  <c r="Q632" i="82"/>
  <c r="R632" i="82"/>
  <c r="S632" i="82"/>
  <c r="Q633" i="82"/>
  <c r="R633" i="82"/>
  <c r="S633" i="82"/>
  <c r="Q634" i="82"/>
  <c r="R634" i="82"/>
  <c r="S634" i="82"/>
  <c r="Q635" i="82"/>
  <c r="R635" i="82"/>
  <c r="S635" i="82"/>
  <c r="Q636" i="82"/>
  <c r="R636" i="82"/>
  <c r="S636" i="82"/>
  <c r="Q637" i="82"/>
  <c r="R637" i="82"/>
  <c r="S637" i="82"/>
  <c r="Q638" i="82"/>
  <c r="R638" i="82"/>
  <c r="S638" i="82"/>
  <c r="Q639" i="82"/>
  <c r="R639" i="82"/>
  <c r="S639" i="82"/>
  <c r="Q640" i="82"/>
  <c r="R640" i="82"/>
  <c r="S640" i="82"/>
  <c r="Q641" i="82"/>
  <c r="R641" i="82"/>
  <c r="S641" i="82"/>
  <c r="Q642" i="82"/>
  <c r="R642" i="82"/>
  <c r="S642" i="82"/>
  <c r="Q643" i="82"/>
  <c r="R643" i="82"/>
  <c r="S643" i="82"/>
  <c r="Q644" i="82"/>
  <c r="R644" i="82"/>
  <c r="S644" i="82"/>
  <c r="Q645" i="82"/>
  <c r="R645" i="82"/>
  <c r="S645" i="82"/>
  <c r="Q646" i="82"/>
  <c r="R646" i="82"/>
  <c r="S646" i="82"/>
  <c r="Q647" i="82"/>
  <c r="R647" i="82"/>
  <c r="S647" i="82"/>
  <c r="Q648" i="82"/>
  <c r="R648" i="82"/>
  <c r="S648" i="82"/>
  <c r="Q649" i="82"/>
  <c r="R649" i="82"/>
  <c r="S649" i="82"/>
  <c r="Q650" i="82"/>
  <c r="R650" i="82"/>
  <c r="S650" i="82"/>
  <c r="Q651" i="82"/>
  <c r="R651" i="82"/>
  <c r="S651" i="82"/>
  <c r="Q652" i="82"/>
  <c r="R652" i="82"/>
  <c r="S652" i="82"/>
  <c r="Q653" i="82"/>
  <c r="R653" i="82"/>
  <c r="S653" i="82"/>
  <c r="Q654" i="82"/>
  <c r="R654" i="82"/>
  <c r="S654" i="82"/>
  <c r="Q655" i="82"/>
  <c r="R655" i="82"/>
  <c r="S655" i="82"/>
  <c r="Q656" i="82"/>
  <c r="R656" i="82"/>
  <c r="S656" i="82"/>
  <c r="Q657" i="82"/>
  <c r="R657" i="82"/>
  <c r="S657" i="82"/>
  <c r="Q658" i="82"/>
  <c r="R658" i="82"/>
  <c r="S658" i="82"/>
  <c r="Q659" i="82"/>
  <c r="R659" i="82"/>
  <c r="S659" i="82"/>
  <c r="Q660" i="82"/>
  <c r="R660" i="82"/>
  <c r="S660" i="82"/>
  <c r="Q661" i="82"/>
  <c r="R661" i="82"/>
  <c r="S661" i="82"/>
  <c r="Q662" i="82"/>
  <c r="R662" i="82"/>
  <c r="S662" i="82"/>
  <c r="Q663" i="82"/>
  <c r="R663" i="82"/>
  <c r="S663" i="82"/>
  <c r="Q664" i="82"/>
  <c r="R664" i="82"/>
  <c r="S664" i="82"/>
  <c r="Q665" i="82"/>
  <c r="R665" i="82"/>
  <c r="S665" i="82"/>
  <c r="Q666" i="82"/>
  <c r="R666" i="82"/>
  <c r="S666" i="82"/>
  <c r="Q667" i="82"/>
  <c r="R667" i="82"/>
  <c r="S667" i="82"/>
  <c r="Q668" i="82"/>
  <c r="R668" i="82"/>
  <c r="S668" i="82"/>
  <c r="Q669" i="82"/>
  <c r="R669" i="82"/>
  <c r="S669" i="82"/>
  <c r="Q670" i="82"/>
  <c r="R670" i="82"/>
  <c r="S670" i="82"/>
  <c r="Q671" i="82"/>
  <c r="R671" i="82"/>
  <c r="S671" i="82"/>
  <c r="Q672" i="82"/>
  <c r="R672" i="82"/>
  <c r="S672" i="82"/>
  <c r="Q673" i="82"/>
  <c r="R673" i="82"/>
  <c r="S673" i="82"/>
  <c r="Q674" i="82"/>
  <c r="R674" i="82"/>
  <c r="S674" i="82"/>
  <c r="Q675" i="82"/>
  <c r="R675" i="82"/>
  <c r="S675" i="82"/>
  <c r="Q676" i="82"/>
  <c r="R676" i="82"/>
  <c r="S676" i="82"/>
  <c r="Q677" i="82"/>
  <c r="R677" i="82"/>
  <c r="S677" i="82"/>
  <c r="Q678" i="82"/>
  <c r="R678" i="82"/>
  <c r="S678" i="82"/>
  <c r="Q679" i="82"/>
  <c r="R679" i="82"/>
  <c r="S679" i="82"/>
  <c r="Q680" i="82"/>
  <c r="R680" i="82"/>
  <c r="S680" i="82"/>
  <c r="Q681" i="82"/>
  <c r="R681" i="82"/>
  <c r="S681" i="82"/>
  <c r="Q682" i="82"/>
  <c r="R682" i="82"/>
  <c r="S682" i="82"/>
  <c r="Q683" i="82"/>
  <c r="R683" i="82"/>
  <c r="S683" i="82"/>
  <c r="Q684" i="82"/>
  <c r="R684" i="82"/>
  <c r="S684" i="82"/>
  <c r="Q685" i="82"/>
  <c r="R685" i="82"/>
  <c r="S685" i="82"/>
  <c r="Q686" i="82"/>
  <c r="R686" i="82"/>
  <c r="S686" i="82"/>
  <c r="Q687" i="82"/>
  <c r="R687" i="82"/>
  <c r="S687" i="82"/>
  <c r="Q688" i="82"/>
  <c r="R688" i="82"/>
  <c r="S688" i="82"/>
  <c r="Q689" i="82"/>
  <c r="R689" i="82"/>
  <c r="S689" i="82"/>
  <c r="Q690" i="82"/>
  <c r="R690" i="82"/>
  <c r="S690" i="82"/>
  <c r="Q691" i="82"/>
  <c r="R691" i="82"/>
  <c r="S691" i="82"/>
  <c r="Q692" i="82"/>
  <c r="R692" i="82"/>
  <c r="S692" i="82"/>
  <c r="Q693" i="82"/>
  <c r="R693" i="82"/>
  <c r="S693" i="82"/>
  <c r="Q694" i="82"/>
  <c r="R694" i="82"/>
  <c r="S694" i="82"/>
  <c r="Q695" i="82"/>
  <c r="R695" i="82"/>
  <c r="S695" i="82"/>
  <c r="Q696" i="82"/>
  <c r="R696" i="82"/>
  <c r="S696" i="82"/>
  <c r="Q697" i="82"/>
  <c r="R697" i="82"/>
  <c r="S697" i="82"/>
  <c r="Q698" i="82"/>
  <c r="R698" i="82"/>
  <c r="S698" i="82"/>
  <c r="Q699" i="82"/>
  <c r="R699" i="82"/>
  <c r="S699" i="82"/>
  <c r="Q700" i="82"/>
  <c r="R700" i="82"/>
  <c r="S700" i="82"/>
  <c r="Q701" i="82"/>
  <c r="R701" i="82"/>
  <c r="S701" i="82"/>
  <c r="Q702" i="82"/>
  <c r="R702" i="82"/>
  <c r="S702" i="82"/>
  <c r="Q703" i="82"/>
  <c r="R703" i="82"/>
  <c r="S703" i="82"/>
  <c r="Q704" i="82"/>
  <c r="R704" i="82"/>
  <c r="S704" i="82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S9" i="27" s="1"/>
  <c r="S10" i="27" s="1"/>
  <c r="S11" i="27" s="1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I3" i="73"/>
  <c r="J3" i="73"/>
  <c r="K3" i="73"/>
  <c r="J23" i="73" s="1"/>
  <c r="L3" i="73"/>
  <c r="I4" i="73"/>
  <c r="H37" i="73" s="1"/>
  <c r="J4" i="73"/>
  <c r="I33" i="73" s="1"/>
  <c r="K4" i="73"/>
  <c r="L4" i="73"/>
  <c r="H14" i="73"/>
  <c r="H15" i="73"/>
  <c r="H17" i="73"/>
  <c r="H20" i="73"/>
  <c r="H31" i="73"/>
  <c r="H33" i="73"/>
  <c r="H36" i="73"/>
  <c r="H42" i="73"/>
  <c r="H45" i="73"/>
  <c r="H46" i="73"/>
  <c r="H47" i="73"/>
  <c r="H61" i="73"/>
  <c r="H62" i="73"/>
  <c r="H63" i="73"/>
  <c r="I10" i="73"/>
  <c r="I11" i="73"/>
  <c r="I17" i="73"/>
  <c r="I30" i="73"/>
  <c r="I40" i="73"/>
  <c r="I41" i="73"/>
  <c r="I43" i="73"/>
  <c r="I58" i="73"/>
  <c r="I67" i="73"/>
  <c r="J12" i="73"/>
  <c r="J13" i="73"/>
  <c r="J18" i="73"/>
  <c r="J21" i="73"/>
  <c r="J22" i="73"/>
  <c r="J25" i="73"/>
  <c r="J28" i="73"/>
  <c r="J29" i="73"/>
  <c r="J31" i="73"/>
  <c r="J37" i="73"/>
  <c r="J38" i="73"/>
  <c r="J39" i="73"/>
  <c r="J41" i="73"/>
  <c r="J46" i="73"/>
  <c r="J47" i="73"/>
  <c r="J50" i="73"/>
  <c r="J54" i="73"/>
  <c r="J55" i="73"/>
  <c r="J57" i="73"/>
  <c r="J61" i="73"/>
  <c r="J63" i="73"/>
  <c r="J66" i="73"/>
  <c r="K10" i="73"/>
  <c r="K16" i="73"/>
  <c r="K17" i="73"/>
  <c r="K18" i="73"/>
  <c r="K19" i="73"/>
  <c r="K22" i="73"/>
  <c r="K25" i="73"/>
  <c r="K26" i="73"/>
  <c r="K27" i="73"/>
  <c r="K29" i="73"/>
  <c r="K32" i="73"/>
  <c r="K33" i="73"/>
  <c r="K34" i="73"/>
  <c r="K35" i="73"/>
  <c r="K38" i="73"/>
  <c r="K43" i="73"/>
  <c r="K45" i="73"/>
  <c r="K48" i="73"/>
  <c r="K49" i="73"/>
  <c r="K50" i="73"/>
  <c r="K51" i="73"/>
  <c r="K54" i="73"/>
  <c r="K57" i="73"/>
  <c r="K58" i="73"/>
  <c r="K59" i="73"/>
  <c r="K61" i="73"/>
  <c r="K64" i="73"/>
  <c r="K65" i="73"/>
  <c r="K66" i="73"/>
  <c r="B7" i="109"/>
  <c r="C7" i="109"/>
  <c r="M7" i="109"/>
  <c r="B8" i="109"/>
  <c r="C8" i="109" s="1"/>
  <c r="M8" i="109"/>
  <c r="B9" i="109"/>
  <c r="C9" i="109" s="1"/>
  <c r="M9" i="109"/>
  <c r="B10" i="109"/>
  <c r="C10" i="109" s="1"/>
  <c r="M10" i="109"/>
  <c r="B11" i="109"/>
  <c r="C11" i="109"/>
  <c r="M11" i="109"/>
  <c r="B12" i="109"/>
  <c r="C12" i="109"/>
  <c r="M12" i="109"/>
  <c r="B13" i="109"/>
  <c r="C13" i="109"/>
  <c r="M13" i="109"/>
  <c r="B14" i="109"/>
  <c r="C14" i="109"/>
  <c r="M14" i="109"/>
  <c r="B15" i="109"/>
  <c r="C15" i="109"/>
  <c r="M15" i="109"/>
  <c r="B16" i="109"/>
  <c r="C16" i="109" s="1"/>
  <c r="M16" i="109"/>
  <c r="B17" i="109"/>
  <c r="C17" i="109" s="1"/>
  <c r="M17" i="109"/>
  <c r="B18" i="109"/>
  <c r="C18" i="109" s="1"/>
  <c r="M18" i="109"/>
  <c r="B19" i="109"/>
  <c r="C19" i="109"/>
  <c r="M19" i="109"/>
  <c r="B20" i="109"/>
  <c r="C20" i="109" s="1"/>
  <c r="M20" i="109"/>
  <c r="B21" i="109"/>
  <c r="C21" i="109"/>
  <c r="M21" i="109"/>
  <c r="B22" i="109"/>
  <c r="C22" i="109" s="1"/>
  <c r="M22" i="109"/>
  <c r="B23" i="109"/>
  <c r="C23" i="109" s="1"/>
  <c r="M23" i="109"/>
  <c r="B24" i="109"/>
  <c r="C24" i="109" s="1"/>
  <c r="M24" i="109"/>
  <c r="B25" i="109"/>
  <c r="C25" i="109" s="1"/>
  <c r="M25" i="109"/>
  <c r="B26" i="109"/>
  <c r="C26" i="109" s="1"/>
  <c r="M26" i="109"/>
  <c r="B27" i="109"/>
  <c r="C27" i="109"/>
  <c r="M27" i="109"/>
  <c r="B28" i="109"/>
  <c r="C28" i="109"/>
  <c r="M28" i="109"/>
  <c r="B29" i="109"/>
  <c r="C29" i="109" s="1"/>
  <c r="M29" i="109"/>
  <c r="B30" i="109"/>
  <c r="C30" i="109" s="1"/>
  <c r="M30" i="109"/>
  <c r="B31" i="109"/>
  <c r="C31" i="109"/>
  <c r="M31" i="109"/>
  <c r="B32" i="109"/>
  <c r="C32" i="109" s="1"/>
  <c r="M32" i="109"/>
  <c r="B33" i="109"/>
  <c r="C33" i="109" s="1"/>
  <c r="M33" i="109"/>
  <c r="B34" i="109"/>
  <c r="C34" i="109" s="1"/>
  <c r="M34" i="109"/>
  <c r="B35" i="109"/>
  <c r="C35" i="109"/>
  <c r="M35" i="109"/>
  <c r="B36" i="109"/>
  <c r="C36" i="109" s="1"/>
  <c r="M36" i="109"/>
  <c r="B37" i="109"/>
  <c r="C37" i="109"/>
  <c r="M37" i="109"/>
  <c r="B38" i="109"/>
  <c r="C38" i="109" s="1"/>
  <c r="M38" i="109"/>
  <c r="B39" i="109"/>
  <c r="C39" i="109" s="1"/>
  <c r="M39" i="109"/>
  <c r="B40" i="109"/>
  <c r="C40" i="109" s="1"/>
  <c r="M40" i="109"/>
  <c r="B41" i="109"/>
  <c r="C41" i="109" s="1"/>
  <c r="M41" i="109"/>
  <c r="B42" i="109"/>
  <c r="C42" i="109"/>
  <c r="M42" i="109"/>
  <c r="B43" i="109"/>
  <c r="C43" i="109"/>
  <c r="M43" i="109"/>
  <c r="B44" i="109"/>
  <c r="C44" i="109"/>
  <c r="M44" i="109"/>
  <c r="B45" i="109"/>
  <c r="C45" i="109" s="1"/>
  <c r="M45" i="109"/>
  <c r="B46" i="109"/>
  <c r="C46" i="109" s="1"/>
  <c r="M46" i="109"/>
  <c r="B47" i="109"/>
  <c r="C47" i="109"/>
  <c r="M47" i="109"/>
  <c r="B48" i="109"/>
  <c r="C48" i="109" s="1"/>
  <c r="M48" i="109"/>
  <c r="B49" i="109"/>
  <c r="C49" i="109" s="1"/>
  <c r="M49" i="109"/>
  <c r="B50" i="109"/>
  <c r="C50" i="109" s="1"/>
  <c r="M50" i="109"/>
  <c r="B51" i="109"/>
  <c r="C51" i="109" s="1"/>
  <c r="M51" i="109"/>
  <c r="B52" i="109"/>
  <c r="C52" i="109" s="1"/>
  <c r="M52" i="109"/>
  <c r="B53" i="109"/>
  <c r="C53" i="109" s="1"/>
  <c r="M53" i="109"/>
  <c r="B54" i="109"/>
  <c r="C54" i="109" s="1"/>
  <c r="M54" i="109"/>
  <c r="B55" i="109"/>
  <c r="C55" i="109"/>
  <c r="M55" i="109"/>
  <c r="B56" i="109"/>
  <c r="C56" i="109" s="1"/>
  <c r="M56" i="109"/>
  <c r="B57" i="109"/>
  <c r="C57" i="109" s="1"/>
  <c r="M57" i="109"/>
  <c r="B58" i="109"/>
  <c r="C58" i="109" s="1"/>
  <c r="M58" i="109"/>
  <c r="B59" i="109"/>
  <c r="C59" i="109"/>
  <c r="M59" i="109"/>
  <c r="B60" i="109"/>
  <c r="C60" i="109"/>
  <c r="M60" i="109"/>
  <c r="B61" i="109"/>
  <c r="C61" i="109"/>
  <c r="M61" i="109"/>
  <c r="B62" i="109"/>
  <c r="C62" i="109"/>
  <c r="M62" i="109"/>
  <c r="B63" i="109"/>
  <c r="C63" i="109"/>
  <c r="M63" i="109"/>
  <c r="B64" i="109"/>
  <c r="C64" i="109" s="1"/>
  <c r="M64" i="109"/>
  <c r="B65" i="109"/>
  <c r="C65" i="109" s="1"/>
  <c r="M65" i="109"/>
  <c r="B66" i="109"/>
  <c r="C66" i="109" s="1"/>
  <c r="M66" i="109"/>
  <c r="B67" i="109"/>
  <c r="C67" i="109"/>
  <c r="M67" i="109"/>
  <c r="B68" i="109"/>
  <c r="C68" i="109" s="1"/>
  <c r="M68" i="109"/>
  <c r="B69" i="109"/>
  <c r="C69" i="109"/>
  <c r="M69" i="109"/>
  <c r="B70" i="109"/>
  <c r="C70" i="109"/>
  <c r="M70" i="109"/>
  <c r="B71" i="109"/>
  <c r="C71" i="109"/>
  <c r="M71" i="109"/>
  <c r="B72" i="109"/>
  <c r="C72" i="109" s="1"/>
  <c r="M72" i="109"/>
  <c r="B73" i="109"/>
  <c r="C73" i="109" s="1"/>
  <c r="M73" i="109"/>
  <c r="B74" i="109"/>
  <c r="C74" i="109"/>
  <c r="M74" i="109"/>
  <c r="B75" i="109"/>
  <c r="C75" i="109"/>
  <c r="M75" i="109"/>
  <c r="B76" i="109"/>
  <c r="C76" i="109"/>
  <c r="M76" i="109"/>
  <c r="B77" i="109"/>
  <c r="C77" i="109" s="1"/>
  <c r="M77" i="109"/>
  <c r="B78" i="109"/>
  <c r="C78" i="109"/>
  <c r="M78" i="109"/>
  <c r="B79" i="109"/>
  <c r="C79" i="109"/>
  <c r="M79" i="109"/>
  <c r="B80" i="109"/>
  <c r="C80" i="109" s="1"/>
  <c r="M80" i="109"/>
  <c r="B81" i="109"/>
  <c r="C81" i="109" s="1"/>
  <c r="M81" i="109"/>
  <c r="B82" i="109"/>
  <c r="C82" i="109" s="1"/>
  <c r="M82" i="109"/>
  <c r="B83" i="109"/>
  <c r="C83" i="109" s="1"/>
  <c r="M83" i="109"/>
  <c r="B84" i="109"/>
  <c r="C84" i="109" s="1"/>
  <c r="M84" i="109"/>
  <c r="B85" i="109"/>
  <c r="C85" i="109" s="1"/>
  <c r="M85" i="109"/>
  <c r="B86" i="109"/>
  <c r="C86" i="109" s="1"/>
  <c r="M86" i="109"/>
  <c r="B87" i="109"/>
  <c r="C87" i="109" s="1"/>
  <c r="M87" i="109"/>
  <c r="B88" i="109"/>
  <c r="C88" i="109" s="1"/>
  <c r="M88" i="109"/>
  <c r="B89" i="109"/>
  <c r="C89" i="109" s="1"/>
  <c r="M89" i="109"/>
  <c r="B90" i="109"/>
  <c r="C90" i="109"/>
  <c r="M90" i="109"/>
  <c r="B91" i="109"/>
  <c r="C91" i="109"/>
  <c r="M91" i="109"/>
  <c r="B92" i="109"/>
  <c r="C92" i="109"/>
  <c r="M92" i="109"/>
  <c r="B93" i="109"/>
  <c r="C93" i="109"/>
  <c r="M93" i="109"/>
  <c r="B94" i="109"/>
  <c r="C94" i="109"/>
  <c r="M94" i="109"/>
  <c r="B95" i="109"/>
  <c r="C95" i="109"/>
  <c r="M95" i="109"/>
  <c r="B96" i="109"/>
  <c r="C96" i="109" s="1"/>
  <c r="M96" i="109"/>
  <c r="B97" i="109"/>
  <c r="C97" i="109" s="1"/>
  <c r="M97" i="109"/>
  <c r="B98" i="109"/>
  <c r="C98" i="109"/>
  <c r="M98" i="109"/>
  <c r="B99" i="109"/>
  <c r="C99" i="109"/>
  <c r="M99" i="109"/>
  <c r="B100" i="109"/>
  <c r="C100" i="109" s="1"/>
  <c r="M100" i="109"/>
  <c r="B101" i="109"/>
  <c r="C101" i="109" s="1"/>
  <c r="M101" i="109"/>
  <c r="B102" i="109"/>
  <c r="C102" i="109"/>
  <c r="M102" i="109"/>
  <c r="B103" i="109"/>
  <c r="C103" i="109"/>
  <c r="M103" i="109"/>
  <c r="B104" i="109"/>
  <c r="C104" i="109" s="1"/>
  <c r="M104" i="109"/>
  <c r="B105" i="109"/>
  <c r="C105" i="109" s="1"/>
  <c r="M105" i="109"/>
  <c r="B106" i="109"/>
  <c r="C106" i="109"/>
  <c r="M106" i="109"/>
  <c r="B107" i="109"/>
  <c r="C107" i="109"/>
  <c r="M107" i="109"/>
  <c r="B108" i="109"/>
  <c r="C108" i="109"/>
  <c r="M108" i="109"/>
  <c r="B109" i="109"/>
  <c r="C109" i="109" s="1"/>
  <c r="M109" i="109"/>
  <c r="B110" i="109"/>
  <c r="C110" i="109" s="1"/>
  <c r="M110" i="109"/>
  <c r="B111" i="109"/>
  <c r="C111" i="109"/>
  <c r="M111" i="109"/>
  <c r="B112" i="109"/>
  <c r="C112" i="109" s="1"/>
  <c r="M112" i="109"/>
  <c r="B113" i="109"/>
  <c r="C113" i="109" s="1"/>
  <c r="M113" i="109"/>
  <c r="B114" i="109"/>
  <c r="C114" i="109" s="1"/>
  <c r="M114" i="109"/>
  <c r="B115" i="109"/>
  <c r="C115" i="109" s="1"/>
  <c r="M115" i="109"/>
  <c r="B116" i="109"/>
  <c r="C116" i="109" s="1"/>
  <c r="M116" i="109"/>
  <c r="B117" i="109"/>
  <c r="C117" i="109" s="1"/>
  <c r="M117" i="109"/>
  <c r="B118" i="109"/>
  <c r="C118" i="109"/>
  <c r="M118" i="109"/>
  <c r="B119" i="109"/>
  <c r="C119" i="109"/>
  <c r="M119" i="109"/>
  <c r="B120" i="109"/>
  <c r="C120" i="109" s="1"/>
  <c r="M120" i="109"/>
  <c r="B121" i="109"/>
  <c r="C121" i="109" s="1"/>
  <c r="M121" i="109"/>
  <c r="B122" i="109"/>
  <c r="C122" i="109" s="1"/>
  <c r="M122" i="109"/>
  <c r="B123" i="109"/>
  <c r="C123" i="109"/>
  <c r="M123" i="109"/>
  <c r="B124" i="109"/>
  <c r="C124" i="109"/>
  <c r="M124" i="109"/>
  <c r="B125" i="109"/>
  <c r="C125" i="109"/>
  <c r="M125" i="109"/>
  <c r="B126" i="109"/>
  <c r="C126" i="109"/>
  <c r="M126" i="109"/>
  <c r="B127" i="109"/>
  <c r="C127" i="109"/>
  <c r="M127" i="109"/>
  <c r="B128" i="109"/>
  <c r="C128" i="109" s="1"/>
  <c r="M128" i="109"/>
  <c r="B129" i="109"/>
  <c r="C129" i="109" s="1"/>
  <c r="M129" i="109"/>
  <c r="B130" i="109"/>
  <c r="C130" i="109" s="1"/>
  <c r="M130" i="109"/>
  <c r="B131" i="109"/>
  <c r="C131" i="109"/>
  <c r="M131" i="109"/>
  <c r="B132" i="109"/>
  <c r="C132" i="109" s="1"/>
  <c r="M132" i="109"/>
  <c r="B133" i="109"/>
  <c r="C133" i="109"/>
  <c r="M133" i="109"/>
  <c r="B134" i="109"/>
  <c r="C134" i="109"/>
  <c r="M134" i="109"/>
  <c r="B135" i="109"/>
  <c r="C135" i="109"/>
  <c r="M135" i="109"/>
  <c r="B136" i="109"/>
  <c r="C136" i="109" s="1"/>
  <c r="M136" i="109"/>
  <c r="B137" i="109"/>
  <c r="C137" i="109" s="1"/>
  <c r="M137" i="109"/>
  <c r="B138" i="109"/>
  <c r="C138" i="109" s="1"/>
  <c r="M138" i="109"/>
  <c r="B139" i="109"/>
  <c r="C139" i="109"/>
  <c r="M139" i="109"/>
  <c r="B140" i="109"/>
  <c r="C140" i="109"/>
  <c r="M140" i="109"/>
  <c r="B141" i="109"/>
  <c r="C141" i="109" s="1"/>
  <c r="M141" i="109"/>
  <c r="B142" i="109"/>
  <c r="C142" i="109"/>
  <c r="M142" i="109"/>
  <c r="B143" i="109"/>
  <c r="C143" i="109"/>
  <c r="M143" i="109"/>
  <c r="B144" i="109"/>
  <c r="C144" i="109" s="1"/>
  <c r="M144" i="109"/>
  <c r="B145" i="109"/>
  <c r="C145" i="109" s="1"/>
  <c r="M145" i="109"/>
  <c r="B146" i="109"/>
  <c r="C146" i="109" s="1"/>
  <c r="M146" i="109"/>
  <c r="B147" i="109"/>
  <c r="C147" i="109" s="1"/>
  <c r="M147" i="109"/>
  <c r="B148" i="109"/>
  <c r="C148" i="109" s="1"/>
  <c r="M148" i="109"/>
  <c r="B149" i="109"/>
  <c r="C149" i="109" s="1"/>
  <c r="M149" i="109"/>
  <c r="B150" i="109"/>
  <c r="C150" i="109"/>
  <c r="M150" i="109"/>
  <c r="B151" i="109"/>
  <c r="C151" i="109"/>
  <c r="M151" i="109"/>
  <c r="B152" i="109"/>
  <c r="C152" i="109"/>
  <c r="M152" i="109"/>
  <c r="B153" i="109"/>
  <c r="C153" i="109" s="1"/>
  <c r="M153" i="109"/>
  <c r="B154" i="109"/>
  <c r="C154" i="109" s="1"/>
  <c r="M154" i="109"/>
  <c r="B155" i="109"/>
  <c r="C155" i="109"/>
  <c r="M155" i="109"/>
  <c r="B156" i="109"/>
  <c r="C156" i="109"/>
  <c r="M156" i="109"/>
  <c r="B157" i="109"/>
  <c r="C157" i="109" s="1"/>
  <c r="M157" i="109"/>
  <c r="B158" i="109"/>
  <c r="C158" i="109" s="1"/>
  <c r="M158" i="109"/>
  <c r="B159" i="109"/>
  <c r="C159" i="109"/>
  <c r="M159" i="109"/>
  <c r="B160" i="109"/>
  <c r="C160" i="109" s="1"/>
  <c r="M160" i="109"/>
  <c r="B161" i="109"/>
  <c r="C161" i="109" s="1"/>
  <c r="M161" i="109"/>
  <c r="B162" i="109"/>
  <c r="C162" i="109" s="1"/>
  <c r="M162" i="109"/>
  <c r="B163" i="109"/>
  <c r="C163" i="109" s="1"/>
  <c r="M163" i="109"/>
  <c r="B164" i="109"/>
  <c r="C164" i="109" s="1"/>
  <c r="M164" i="109"/>
  <c r="B165" i="109"/>
  <c r="C165" i="109"/>
  <c r="M165" i="109"/>
  <c r="B166" i="109"/>
  <c r="C166" i="109" s="1"/>
  <c r="M166" i="109"/>
  <c r="B167" i="109"/>
  <c r="C167" i="109"/>
  <c r="M167" i="109"/>
  <c r="B168" i="109"/>
  <c r="C168" i="109"/>
  <c r="M168" i="109"/>
  <c r="B169" i="109"/>
  <c r="C169" i="109"/>
  <c r="M169" i="109"/>
  <c r="B170" i="109"/>
  <c r="C170" i="109" s="1"/>
  <c r="M170" i="109"/>
  <c r="B171" i="109"/>
  <c r="C171" i="109"/>
  <c r="M171" i="109"/>
  <c r="B172" i="109"/>
  <c r="C172" i="109"/>
  <c r="M172" i="109"/>
  <c r="B173" i="109"/>
  <c r="C173" i="109" s="1"/>
  <c r="M173" i="109"/>
  <c r="B174" i="109"/>
  <c r="C174" i="109"/>
  <c r="M174" i="109"/>
  <c r="B175" i="109"/>
  <c r="C175" i="109"/>
  <c r="M175" i="109"/>
  <c r="B176" i="109"/>
  <c r="C176" i="109" s="1"/>
  <c r="M176" i="109"/>
  <c r="B177" i="109"/>
  <c r="C177" i="109" s="1"/>
  <c r="M177" i="109"/>
  <c r="B178" i="109"/>
  <c r="C178" i="109" s="1"/>
  <c r="M178" i="109"/>
  <c r="B179" i="109"/>
  <c r="C179" i="109" s="1"/>
  <c r="M179" i="109"/>
  <c r="B180" i="109"/>
  <c r="C180" i="109" s="1"/>
  <c r="M180" i="109"/>
  <c r="B181" i="109"/>
  <c r="C181" i="109" s="1"/>
  <c r="M181" i="109"/>
  <c r="B182" i="109"/>
  <c r="C182" i="109"/>
  <c r="M182" i="109"/>
  <c r="B183" i="109"/>
  <c r="C183" i="109" s="1"/>
  <c r="M183" i="109"/>
  <c r="B184" i="109"/>
  <c r="C184" i="109"/>
  <c r="M184" i="109"/>
  <c r="B185" i="109"/>
  <c r="C185" i="109"/>
  <c r="M185" i="109"/>
  <c r="B186" i="109"/>
  <c r="C186" i="109"/>
  <c r="M186" i="109"/>
  <c r="B187" i="109"/>
  <c r="C187" i="109"/>
  <c r="M187" i="109"/>
  <c r="B188" i="109"/>
  <c r="C188" i="109"/>
  <c r="M188" i="109"/>
  <c r="B189" i="109"/>
  <c r="C189" i="109" s="1"/>
  <c r="M189" i="109"/>
  <c r="B190" i="109"/>
  <c r="C190" i="109" s="1"/>
  <c r="M190" i="109"/>
  <c r="B191" i="109"/>
  <c r="C191" i="109"/>
  <c r="M191" i="109"/>
  <c r="B192" i="109"/>
  <c r="C192" i="109" s="1"/>
  <c r="M192" i="109"/>
  <c r="B193" i="109"/>
  <c r="C193" i="109" s="1"/>
  <c r="M193" i="109"/>
  <c r="B194" i="109"/>
  <c r="C194" i="109" s="1"/>
  <c r="M194" i="109"/>
  <c r="B195" i="109"/>
  <c r="C195" i="109" s="1"/>
  <c r="M195" i="109"/>
  <c r="B196" i="109"/>
  <c r="C196" i="109" s="1"/>
  <c r="M196" i="109"/>
  <c r="B197" i="109"/>
  <c r="C197" i="109" s="1"/>
  <c r="M197" i="109"/>
  <c r="B198" i="109"/>
  <c r="C198" i="109" s="1"/>
  <c r="M198" i="109"/>
  <c r="B199" i="109"/>
  <c r="C199" i="109"/>
  <c r="M199" i="109"/>
  <c r="B200" i="109"/>
  <c r="C200" i="109" s="1"/>
  <c r="M200" i="109"/>
  <c r="B201" i="109"/>
  <c r="C201" i="109"/>
  <c r="M201" i="109"/>
  <c r="B202" i="109"/>
  <c r="C202" i="109"/>
  <c r="M202" i="109"/>
  <c r="B203" i="109"/>
  <c r="C203" i="109"/>
  <c r="M203" i="109"/>
  <c r="B204" i="109"/>
  <c r="C204" i="109"/>
  <c r="M204" i="109"/>
  <c r="B205" i="109"/>
  <c r="C205" i="109" s="1"/>
  <c r="M205" i="109"/>
  <c r="B206" i="109"/>
  <c r="C206" i="109" s="1"/>
  <c r="M206" i="109"/>
  <c r="B207" i="109"/>
  <c r="C207" i="109"/>
  <c r="M207" i="109"/>
  <c r="B208" i="109"/>
  <c r="C208" i="109" s="1"/>
  <c r="M208" i="109"/>
  <c r="B209" i="109"/>
  <c r="C209" i="109" s="1"/>
  <c r="M209" i="109"/>
  <c r="B210" i="109"/>
  <c r="C210" i="109" s="1"/>
  <c r="M210" i="109"/>
  <c r="B211" i="109"/>
  <c r="C211" i="109" s="1"/>
  <c r="M211" i="109"/>
  <c r="B212" i="109"/>
  <c r="C212" i="109" s="1"/>
  <c r="M212" i="109"/>
  <c r="B213" i="109"/>
  <c r="C213" i="109"/>
  <c r="M213" i="109"/>
  <c r="B214" i="109"/>
  <c r="C214" i="109" s="1"/>
  <c r="M214" i="109"/>
  <c r="B215" i="109"/>
  <c r="C215" i="109" s="1"/>
  <c r="M215" i="109"/>
  <c r="B216" i="109"/>
  <c r="C216" i="109"/>
  <c r="M216" i="109"/>
  <c r="B217" i="109"/>
  <c r="C217" i="109" s="1"/>
  <c r="M217" i="109"/>
  <c r="B218" i="109"/>
  <c r="C218" i="109"/>
  <c r="M218" i="109"/>
  <c r="B219" i="109"/>
  <c r="C219" i="109"/>
  <c r="M219" i="109"/>
  <c r="B220" i="109"/>
  <c r="C220" i="109"/>
  <c r="M220" i="109"/>
  <c r="B221" i="109"/>
  <c r="C221" i="109" s="1"/>
  <c r="M221" i="109"/>
  <c r="B222" i="109"/>
  <c r="C222" i="109" s="1"/>
  <c r="M222" i="109"/>
  <c r="B223" i="109"/>
  <c r="C223" i="109"/>
  <c r="M223" i="109"/>
  <c r="B224" i="109"/>
  <c r="C224" i="109" s="1"/>
  <c r="M224" i="109"/>
  <c r="B225" i="109"/>
  <c r="C225" i="109" s="1"/>
  <c r="M225" i="109"/>
  <c r="B226" i="109"/>
  <c r="C226" i="109"/>
  <c r="M226" i="109"/>
  <c r="B227" i="109"/>
  <c r="C227" i="109" s="1"/>
  <c r="M227" i="109"/>
  <c r="B228" i="109"/>
  <c r="C228" i="109" s="1"/>
  <c r="M228" i="109"/>
  <c r="B229" i="109"/>
  <c r="C229" i="109"/>
  <c r="M229" i="109"/>
  <c r="B230" i="109"/>
  <c r="C230" i="109"/>
  <c r="M230" i="109"/>
  <c r="B231" i="109"/>
  <c r="C231" i="109" s="1"/>
  <c r="M231" i="109"/>
  <c r="B232" i="109"/>
  <c r="C232" i="109" s="1"/>
  <c r="M232" i="109"/>
  <c r="B233" i="109"/>
  <c r="C233" i="109"/>
  <c r="M233" i="109"/>
  <c r="B234" i="109"/>
  <c r="C234" i="109" s="1"/>
  <c r="M234" i="109"/>
  <c r="B235" i="109"/>
  <c r="C235" i="109"/>
  <c r="M235" i="109"/>
  <c r="B236" i="109"/>
  <c r="C236" i="109"/>
  <c r="M236" i="109"/>
  <c r="B237" i="109"/>
  <c r="C237" i="109"/>
  <c r="M237" i="109"/>
  <c r="B238" i="109"/>
  <c r="C238" i="109" s="1"/>
  <c r="M238" i="109"/>
  <c r="B239" i="109"/>
  <c r="C239" i="109"/>
  <c r="M239" i="109"/>
  <c r="B240" i="109"/>
  <c r="C240" i="109" s="1"/>
  <c r="M240" i="109"/>
  <c r="B241" i="109"/>
  <c r="C241" i="109" s="1"/>
  <c r="M241" i="109"/>
  <c r="B242" i="109"/>
  <c r="C242" i="109"/>
  <c r="M242" i="109"/>
  <c r="B243" i="109"/>
  <c r="C243" i="109"/>
  <c r="M243" i="109"/>
  <c r="B244" i="109"/>
  <c r="C244" i="109" s="1"/>
  <c r="M244" i="109"/>
  <c r="B245" i="109"/>
  <c r="C245" i="109"/>
  <c r="M245" i="109"/>
  <c r="B246" i="109"/>
  <c r="C246" i="109"/>
  <c r="M246" i="109"/>
  <c r="B247" i="109"/>
  <c r="C247" i="109"/>
  <c r="M247" i="109"/>
  <c r="B248" i="109"/>
  <c r="C248" i="109" s="1"/>
  <c r="M248" i="109"/>
  <c r="B249" i="109"/>
  <c r="C249" i="109" s="1"/>
  <c r="M249" i="109"/>
  <c r="B250" i="109"/>
  <c r="C250" i="109"/>
  <c r="M250" i="109"/>
  <c r="B251" i="109"/>
  <c r="C251" i="109"/>
  <c r="M251" i="109"/>
  <c r="B252" i="109"/>
  <c r="C252" i="109"/>
  <c r="M252" i="109"/>
  <c r="B253" i="109"/>
  <c r="C253" i="109"/>
  <c r="M253" i="109"/>
  <c r="B254" i="109"/>
  <c r="C254" i="109"/>
  <c r="M254" i="109"/>
  <c r="B255" i="109"/>
  <c r="C255" i="109"/>
  <c r="M255" i="109"/>
  <c r="B256" i="109"/>
  <c r="C256" i="109" s="1"/>
  <c r="M256" i="109"/>
  <c r="B257" i="109"/>
  <c r="C257" i="109" s="1"/>
  <c r="M257" i="109"/>
  <c r="B258" i="109"/>
  <c r="C258" i="109"/>
  <c r="M258" i="109"/>
  <c r="B259" i="109"/>
  <c r="C259" i="109"/>
  <c r="M259" i="109"/>
  <c r="B260" i="109"/>
  <c r="C260" i="109" s="1"/>
  <c r="M260" i="109"/>
  <c r="B261" i="109"/>
  <c r="C261" i="109" s="1"/>
  <c r="M261" i="109"/>
  <c r="B262" i="109"/>
  <c r="C262" i="109"/>
  <c r="M262" i="109"/>
  <c r="B263" i="109"/>
  <c r="C263" i="109"/>
  <c r="M263" i="109"/>
  <c r="B264" i="109"/>
  <c r="C264" i="109" s="1"/>
  <c r="M264" i="109"/>
  <c r="B265" i="109"/>
  <c r="C265" i="109" s="1"/>
  <c r="M265" i="109"/>
  <c r="B266" i="109"/>
  <c r="C266" i="109" s="1"/>
  <c r="M266" i="109"/>
  <c r="B267" i="109"/>
  <c r="C267" i="109"/>
  <c r="M267" i="109"/>
  <c r="B268" i="109"/>
  <c r="C268" i="109"/>
  <c r="M268" i="109"/>
  <c r="B269" i="109"/>
  <c r="C269" i="109"/>
  <c r="M269" i="109"/>
  <c r="B270" i="109"/>
  <c r="C270" i="109"/>
  <c r="M270" i="109"/>
  <c r="B271" i="109"/>
  <c r="C271" i="109"/>
  <c r="M271" i="109"/>
  <c r="B272" i="109"/>
  <c r="C272" i="109" s="1"/>
  <c r="M272" i="109"/>
  <c r="B273" i="109"/>
  <c r="C273" i="109" s="1"/>
  <c r="M273" i="109"/>
  <c r="B274" i="109"/>
  <c r="C274" i="109" s="1"/>
  <c r="M274" i="109"/>
  <c r="B275" i="109"/>
  <c r="C275" i="109"/>
  <c r="M275" i="109"/>
  <c r="B276" i="109"/>
  <c r="C276" i="109" s="1"/>
  <c r="M276" i="109"/>
  <c r="B277" i="109"/>
  <c r="C277" i="109" s="1"/>
  <c r="M277" i="109"/>
  <c r="B278" i="109"/>
  <c r="C278" i="109" s="1"/>
  <c r="M278" i="109"/>
  <c r="B279" i="109"/>
  <c r="C279" i="109"/>
  <c r="M279" i="109"/>
  <c r="B280" i="109"/>
  <c r="C280" i="109"/>
  <c r="M280" i="109"/>
  <c r="B281" i="109"/>
  <c r="C281" i="109"/>
  <c r="M281" i="109"/>
  <c r="B282" i="109"/>
  <c r="C282" i="109" s="1"/>
  <c r="M282" i="109"/>
  <c r="B283" i="109"/>
  <c r="C283" i="109" s="1"/>
  <c r="M283" i="109"/>
  <c r="B284" i="109"/>
  <c r="C284" i="109"/>
  <c r="M284" i="109"/>
  <c r="B285" i="109"/>
  <c r="C285" i="109" s="1"/>
  <c r="M285" i="109"/>
  <c r="B286" i="109"/>
  <c r="C286" i="109"/>
  <c r="M286" i="109"/>
  <c r="B287" i="109"/>
  <c r="C287" i="109"/>
  <c r="M287" i="109"/>
  <c r="B288" i="109"/>
  <c r="C288" i="109"/>
  <c r="M288" i="109"/>
  <c r="B289" i="109"/>
  <c r="C289" i="109" s="1"/>
  <c r="M289" i="109"/>
  <c r="B290" i="109"/>
  <c r="C290" i="109"/>
  <c r="M290" i="109"/>
  <c r="B291" i="109"/>
  <c r="C291" i="109"/>
  <c r="M291" i="109"/>
  <c r="B292" i="109"/>
  <c r="C292" i="109" s="1"/>
  <c r="M292" i="109"/>
  <c r="B293" i="109"/>
  <c r="C293" i="109"/>
  <c r="M293" i="109"/>
  <c r="B294" i="109"/>
  <c r="C294" i="109"/>
  <c r="M294" i="109"/>
  <c r="B295" i="109"/>
  <c r="C295" i="109" s="1"/>
  <c r="M295" i="109"/>
  <c r="B296" i="109"/>
  <c r="C296" i="109" s="1"/>
  <c r="M296" i="109"/>
  <c r="B297" i="109"/>
  <c r="C297" i="109" s="1"/>
  <c r="M297" i="109"/>
  <c r="B298" i="109"/>
  <c r="C298" i="109" s="1"/>
  <c r="M298" i="109"/>
  <c r="B299" i="109"/>
  <c r="C299" i="109" s="1"/>
  <c r="M299" i="109"/>
  <c r="B300" i="109"/>
  <c r="C300" i="109" s="1"/>
  <c r="M300" i="109"/>
  <c r="B301" i="109"/>
  <c r="C301" i="109"/>
  <c r="M301" i="109"/>
  <c r="B302" i="109"/>
  <c r="C302" i="109"/>
  <c r="M302" i="109"/>
  <c r="B303" i="109"/>
  <c r="C303" i="109"/>
  <c r="M303" i="109"/>
  <c r="B304" i="109"/>
  <c r="C304" i="109" s="1"/>
  <c r="M304" i="109"/>
  <c r="B305" i="109"/>
  <c r="C305" i="109" s="1"/>
  <c r="M305" i="109"/>
  <c r="B306" i="109"/>
  <c r="C306" i="109"/>
  <c r="M306" i="109"/>
  <c r="B307" i="109"/>
  <c r="C307" i="109" s="1"/>
  <c r="M307" i="109"/>
  <c r="B308" i="109"/>
  <c r="C308" i="109"/>
  <c r="M308" i="109"/>
  <c r="B309" i="109"/>
  <c r="C309" i="109"/>
  <c r="M309" i="109"/>
  <c r="B310" i="109"/>
  <c r="C310" i="109"/>
  <c r="M310" i="109"/>
  <c r="B311" i="109"/>
  <c r="C311" i="109" s="1"/>
  <c r="M311" i="109"/>
  <c r="B312" i="109"/>
  <c r="C312" i="109" s="1"/>
  <c r="M312" i="109"/>
  <c r="B313" i="109"/>
  <c r="C313" i="109" s="1"/>
  <c r="M313" i="109"/>
  <c r="B314" i="109"/>
  <c r="C314" i="109" s="1"/>
  <c r="M314" i="109"/>
  <c r="B315" i="109"/>
  <c r="C315" i="109" s="1"/>
  <c r="M315" i="109"/>
  <c r="B316" i="109"/>
  <c r="C316" i="109" s="1"/>
  <c r="M316" i="109"/>
  <c r="B317" i="109"/>
  <c r="C317" i="109"/>
  <c r="M317" i="109"/>
  <c r="B318" i="109"/>
  <c r="C318" i="109"/>
  <c r="M318" i="109"/>
  <c r="B319" i="109"/>
  <c r="C319" i="109" s="1"/>
  <c r="M319" i="109"/>
  <c r="B320" i="109"/>
  <c r="C320" i="109" s="1"/>
  <c r="M320" i="109"/>
  <c r="B321" i="109"/>
  <c r="C321" i="109" s="1"/>
  <c r="M321" i="109"/>
  <c r="B322" i="109"/>
  <c r="C322" i="109"/>
  <c r="M322" i="109"/>
  <c r="B323" i="109"/>
  <c r="C323" i="109" s="1"/>
  <c r="M323" i="109"/>
  <c r="B324" i="109"/>
  <c r="C324" i="109"/>
  <c r="M324" i="109"/>
  <c r="B325" i="109"/>
  <c r="C325" i="109"/>
  <c r="M325" i="109"/>
  <c r="B326" i="109"/>
  <c r="C326" i="109"/>
  <c r="M326" i="109"/>
  <c r="B327" i="109"/>
  <c r="C327" i="109" s="1"/>
  <c r="M327" i="109"/>
  <c r="B328" i="109"/>
  <c r="C328" i="109" s="1"/>
  <c r="M328" i="109"/>
  <c r="B329" i="109"/>
  <c r="C329" i="109" s="1"/>
  <c r="M329" i="109"/>
  <c r="B330" i="109"/>
  <c r="C330" i="109" s="1"/>
  <c r="M330" i="109"/>
  <c r="B331" i="109"/>
  <c r="C331" i="109" s="1"/>
  <c r="M331" i="109"/>
  <c r="B332" i="109"/>
  <c r="C332" i="109" s="1"/>
  <c r="M332" i="109"/>
  <c r="B333" i="109"/>
  <c r="C333" i="109"/>
  <c r="M333" i="109"/>
  <c r="B334" i="109"/>
  <c r="C334" i="109"/>
  <c r="M334" i="109"/>
  <c r="B335" i="109"/>
  <c r="C335" i="109" s="1"/>
  <c r="M335" i="109"/>
  <c r="B336" i="109"/>
  <c r="C336" i="109" s="1"/>
  <c r="M336" i="109"/>
  <c r="B337" i="109"/>
  <c r="C337" i="109" s="1"/>
  <c r="M337" i="109"/>
  <c r="B338" i="109"/>
  <c r="C338" i="109"/>
  <c r="M338" i="109"/>
  <c r="B339" i="109"/>
  <c r="C339" i="109" s="1"/>
  <c r="M339" i="109"/>
  <c r="B340" i="109"/>
  <c r="C340" i="109"/>
  <c r="M340" i="109"/>
  <c r="B341" i="109"/>
  <c r="C341" i="109"/>
  <c r="M341" i="109"/>
  <c r="B342" i="109"/>
  <c r="C342" i="109"/>
  <c r="M342" i="109"/>
  <c r="B343" i="109"/>
  <c r="C343" i="109" s="1"/>
  <c r="M343" i="109"/>
  <c r="B344" i="109"/>
  <c r="C344" i="109" s="1"/>
  <c r="M344" i="109"/>
  <c r="B345" i="109"/>
  <c r="C345" i="109" s="1"/>
  <c r="M345" i="109"/>
  <c r="B346" i="109"/>
  <c r="C346" i="109" s="1"/>
  <c r="M346" i="109"/>
  <c r="B347" i="109"/>
  <c r="C347" i="109" s="1"/>
  <c r="M347" i="109"/>
  <c r="B348" i="109"/>
  <c r="C348" i="109" s="1"/>
  <c r="M348" i="109"/>
  <c r="B349" i="109"/>
  <c r="C349" i="109"/>
  <c r="M349" i="109"/>
  <c r="B350" i="109"/>
  <c r="C350" i="109"/>
  <c r="M350" i="109"/>
  <c r="B351" i="109"/>
  <c r="C351" i="109"/>
  <c r="M351" i="109"/>
  <c r="B352" i="109"/>
  <c r="C352" i="109" s="1"/>
  <c r="M352" i="109"/>
  <c r="B353" i="109"/>
  <c r="C353" i="109" s="1"/>
  <c r="M353" i="109"/>
  <c r="B354" i="109"/>
  <c r="C354" i="109"/>
  <c r="M354" i="109"/>
  <c r="B355" i="109"/>
  <c r="C355" i="109" s="1"/>
  <c r="M355" i="109"/>
  <c r="B356" i="109"/>
  <c r="C356" i="109"/>
  <c r="M356" i="109"/>
  <c r="B357" i="109"/>
  <c r="C357" i="109"/>
  <c r="M357" i="109"/>
  <c r="B358" i="109"/>
  <c r="C358" i="109"/>
  <c r="M358" i="109"/>
  <c r="B359" i="109"/>
  <c r="C359" i="109" s="1"/>
  <c r="M359" i="109"/>
  <c r="B360" i="109"/>
  <c r="C360" i="109" s="1"/>
  <c r="M360" i="109"/>
  <c r="B361" i="109"/>
  <c r="C361" i="109" s="1"/>
  <c r="M361" i="109"/>
  <c r="B362" i="109"/>
  <c r="C362" i="109" s="1"/>
  <c r="M362" i="109"/>
  <c r="B363" i="109"/>
  <c r="C363" i="109" s="1"/>
  <c r="M363" i="109"/>
  <c r="B364" i="109"/>
  <c r="C364" i="109" s="1"/>
  <c r="M364" i="109"/>
  <c r="B365" i="109"/>
  <c r="C365" i="109"/>
  <c r="M365" i="109"/>
  <c r="B366" i="109"/>
  <c r="C366" i="109"/>
  <c r="M366" i="109"/>
  <c r="B367" i="109"/>
  <c r="C367" i="109"/>
  <c r="M367" i="109"/>
  <c r="B368" i="109"/>
  <c r="C368" i="109" s="1"/>
  <c r="M368" i="109"/>
  <c r="B369" i="109"/>
  <c r="C369" i="109" s="1"/>
  <c r="M369" i="109"/>
  <c r="B370" i="109"/>
  <c r="C370" i="109"/>
  <c r="M370" i="109"/>
  <c r="B371" i="109"/>
  <c r="C371" i="109" s="1"/>
  <c r="M371" i="109"/>
  <c r="B372" i="109"/>
  <c r="C372" i="109"/>
  <c r="M372" i="109"/>
  <c r="B373" i="109"/>
  <c r="C373" i="109"/>
  <c r="M373" i="109"/>
  <c r="B374" i="109"/>
  <c r="C374" i="109"/>
  <c r="M374" i="109"/>
  <c r="B375" i="109"/>
  <c r="C375" i="109" s="1"/>
  <c r="M375" i="109"/>
  <c r="B376" i="109"/>
  <c r="C376" i="109" s="1"/>
  <c r="M376" i="109"/>
  <c r="B377" i="109"/>
  <c r="C377" i="109" s="1"/>
  <c r="M377" i="109"/>
  <c r="B378" i="109"/>
  <c r="C378" i="109" s="1"/>
  <c r="M378" i="109"/>
  <c r="B379" i="109"/>
  <c r="C379" i="109" s="1"/>
  <c r="M379" i="109"/>
  <c r="B380" i="109"/>
  <c r="C380" i="109" s="1"/>
  <c r="M380" i="109"/>
  <c r="B381" i="109"/>
  <c r="C381" i="109"/>
  <c r="M381" i="109"/>
  <c r="B382" i="109"/>
  <c r="C382" i="109"/>
  <c r="M382" i="109"/>
  <c r="B383" i="109"/>
  <c r="C383" i="109"/>
  <c r="M383" i="109"/>
  <c r="B384" i="109"/>
  <c r="C384" i="109" s="1"/>
  <c r="M384" i="109"/>
  <c r="B385" i="109"/>
  <c r="C385" i="109" s="1"/>
  <c r="M385" i="109"/>
  <c r="B386" i="109"/>
  <c r="C386" i="109"/>
  <c r="M386" i="109"/>
  <c r="B387" i="109"/>
  <c r="C387" i="109" s="1"/>
  <c r="M387" i="109"/>
  <c r="B388" i="109"/>
  <c r="C388" i="109"/>
  <c r="M388" i="109"/>
  <c r="B389" i="109"/>
  <c r="C389" i="109"/>
  <c r="M389" i="109"/>
  <c r="B390" i="109"/>
  <c r="C390" i="109"/>
  <c r="M390" i="109"/>
  <c r="B391" i="109"/>
  <c r="C391" i="109" s="1"/>
  <c r="M391" i="109"/>
  <c r="B392" i="109"/>
  <c r="C392" i="109" s="1"/>
  <c r="M392" i="109"/>
  <c r="B393" i="109"/>
  <c r="C393" i="109" s="1"/>
  <c r="M393" i="109"/>
  <c r="B394" i="109"/>
  <c r="C394" i="109" s="1"/>
  <c r="M394" i="109"/>
  <c r="B395" i="109"/>
  <c r="C395" i="109" s="1"/>
  <c r="M395" i="109"/>
  <c r="B396" i="109"/>
  <c r="C396" i="109" s="1"/>
  <c r="M396" i="109"/>
  <c r="B397" i="109"/>
  <c r="C397" i="109"/>
  <c r="M397" i="109"/>
  <c r="B398" i="109"/>
  <c r="C398" i="109"/>
  <c r="M398" i="109"/>
  <c r="B399" i="109"/>
  <c r="C399" i="109" s="1"/>
  <c r="M399" i="109"/>
  <c r="B400" i="109"/>
  <c r="C400" i="109" s="1"/>
  <c r="M400" i="109"/>
  <c r="B401" i="109"/>
  <c r="C401" i="109" s="1"/>
  <c r="M401" i="109"/>
  <c r="B402" i="109"/>
  <c r="C402" i="109"/>
  <c r="M402" i="109"/>
  <c r="B403" i="109"/>
  <c r="C403" i="109" s="1"/>
  <c r="M403" i="109"/>
  <c r="B404" i="109"/>
  <c r="C404" i="109"/>
  <c r="M404" i="109"/>
  <c r="B405" i="109"/>
  <c r="C405" i="109"/>
  <c r="M405" i="109"/>
  <c r="B406" i="109"/>
  <c r="C406" i="109"/>
  <c r="M406" i="109"/>
  <c r="B407" i="109"/>
  <c r="C407" i="109" s="1"/>
  <c r="M407" i="109"/>
  <c r="B408" i="109"/>
  <c r="C408" i="109" s="1"/>
  <c r="M408" i="109"/>
  <c r="B409" i="109"/>
  <c r="C409" i="109" s="1"/>
  <c r="M409" i="109"/>
  <c r="B410" i="109"/>
  <c r="C410" i="109" s="1"/>
  <c r="M410" i="109"/>
  <c r="B411" i="109"/>
  <c r="C411" i="109" s="1"/>
  <c r="M411" i="109"/>
  <c r="B412" i="109"/>
  <c r="C412" i="109" s="1"/>
  <c r="M412" i="109"/>
  <c r="B413" i="109"/>
  <c r="C413" i="109"/>
  <c r="M413" i="109"/>
  <c r="B414" i="109"/>
  <c r="C414" i="109"/>
  <c r="M414" i="109"/>
  <c r="B415" i="109"/>
  <c r="C415" i="109"/>
  <c r="M415" i="109"/>
  <c r="B416" i="109"/>
  <c r="C416" i="109" s="1"/>
  <c r="M416" i="109"/>
  <c r="B417" i="109"/>
  <c r="C417" i="109" s="1"/>
  <c r="M417" i="109"/>
  <c r="B418" i="109"/>
  <c r="C418" i="109"/>
  <c r="M418" i="109"/>
  <c r="B419" i="109"/>
  <c r="C419" i="109" s="1"/>
  <c r="M419" i="109"/>
  <c r="B420" i="109"/>
  <c r="C420" i="109"/>
  <c r="M420" i="109"/>
  <c r="B421" i="109"/>
  <c r="C421" i="109"/>
  <c r="M421" i="109"/>
  <c r="B422" i="109"/>
  <c r="C422" i="109"/>
  <c r="M422" i="109"/>
  <c r="B423" i="109"/>
  <c r="C423" i="109" s="1"/>
  <c r="M423" i="109"/>
  <c r="B424" i="109"/>
  <c r="C424" i="109" s="1"/>
  <c r="M424" i="109"/>
  <c r="B425" i="109"/>
  <c r="C425" i="109" s="1"/>
  <c r="M425" i="109"/>
  <c r="B426" i="109"/>
  <c r="C426" i="109" s="1"/>
  <c r="M426" i="109"/>
  <c r="B427" i="109"/>
  <c r="C427" i="109" s="1"/>
  <c r="M427" i="109"/>
  <c r="B428" i="109"/>
  <c r="C428" i="109" s="1"/>
  <c r="M428" i="109"/>
  <c r="B429" i="109"/>
  <c r="C429" i="109"/>
  <c r="M429" i="109"/>
  <c r="B430" i="109"/>
  <c r="C430" i="109"/>
  <c r="M430" i="109"/>
  <c r="B431" i="109"/>
  <c r="C431" i="109" s="1"/>
  <c r="M431" i="109"/>
  <c r="B432" i="109"/>
  <c r="C432" i="109" s="1"/>
  <c r="M432" i="109"/>
  <c r="B433" i="109"/>
  <c r="C433" i="109" s="1"/>
  <c r="M433" i="109"/>
  <c r="B434" i="109"/>
  <c r="C434" i="109"/>
  <c r="M434" i="109"/>
  <c r="B435" i="109"/>
  <c r="C435" i="109" s="1"/>
  <c r="M435" i="109"/>
  <c r="B436" i="109"/>
  <c r="C436" i="109"/>
  <c r="M436" i="109"/>
  <c r="B437" i="109"/>
  <c r="C437" i="109"/>
  <c r="M437" i="109"/>
  <c r="B438" i="109"/>
  <c r="C438" i="109"/>
  <c r="M438" i="109"/>
  <c r="B439" i="109"/>
  <c r="C439" i="109" s="1"/>
  <c r="M439" i="109"/>
  <c r="B440" i="109"/>
  <c r="C440" i="109" s="1"/>
  <c r="M440" i="109"/>
  <c r="B441" i="109"/>
  <c r="C441" i="109" s="1"/>
  <c r="M441" i="109"/>
  <c r="B442" i="109"/>
  <c r="C442" i="109" s="1"/>
  <c r="M442" i="109"/>
  <c r="B443" i="109"/>
  <c r="C443" i="109" s="1"/>
  <c r="M443" i="109"/>
  <c r="B444" i="109"/>
  <c r="C444" i="109" s="1"/>
  <c r="M444" i="109"/>
  <c r="B445" i="109"/>
  <c r="C445" i="109"/>
  <c r="M445" i="109"/>
  <c r="B446" i="109"/>
  <c r="C446" i="109"/>
  <c r="M446" i="109"/>
  <c r="B447" i="109"/>
  <c r="C447" i="109"/>
  <c r="M447" i="109"/>
  <c r="B448" i="109"/>
  <c r="C448" i="109" s="1"/>
  <c r="M448" i="109"/>
  <c r="B449" i="109"/>
  <c r="C449" i="109" s="1"/>
  <c r="M449" i="109"/>
  <c r="B450" i="109"/>
  <c r="C450" i="109"/>
  <c r="M450" i="109"/>
  <c r="B451" i="109"/>
  <c r="C451" i="109" s="1"/>
  <c r="M451" i="109"/>
  <c r="B452" i="109"/>
  <c r="C452" i="109"/>
  <c r="M452" i="109"/>
  <c r="B453" i="109"/>
  <c r="C453" i="109"/>
  <c r="M453" i="109"/>
  <c r="B454" i="109"/>
  <c r="C454" i="109"/>
  <c r="M454" i="109"/>
  <c r="B455" i="109"/>
  <c r="C455" i="109" s="1"/>
  <c r="M455" i="109"/>
  <c r="B456" i="109"/>
  <c r="C456" i="109" s="1"/>
  <c r="M456" i="109"/>
  <c r="B457" i="109"/>
  <c r="C457" i="109" s="1"/>
  <c r="M457" i="109"/>
  <c r="B458" i="109"/>
  <c r="C458" i="109" s="1"/>
  <c r="M458" i="109"/>
  <c r="B459" i="109"/>
  <c r="C459" i="109" s="1"/>
  <c r="M459" i="109"/>
  <c r="B460" i="109"/>
  <c r="C460" i="109" s="1"/>
  <c r="M460" i="109"/>
  <c r="B461" i="109"/>
  <c r="C461" i="109"/>
  <c r="M461" i="109"/>
  <c r="B462" i="109"/>
  <c r="C462" i="109"/>
  <c r="M462" i="109"/>
  <c r="B463" i="109"/>
  <c r="C463" i="109"/>
  <c r="M463" i="109"/>
  <c r="B464" i="109"/>
  <c r="C464" i="109" s="1"/>
  <c r="M464" i="109"/>
  <c r="B465" i="109"/>
  <c r="C465" i="109" s="1"/>
  <c r="M465" i="109"/>
  <c r="B466" i="109"/>
  <c r="C466" i="109"/>
  <c r="M466" i="109"/>
  <c r="B467" i="109"/>
  <c r="C467" i="109" s="1"/>
  <c r="M467" i="109"/>
  <c r="B468" i="109"/>
  <c r="C468" i="109"/>
  <c r="M468" i="109"/>
  <c r="B469" i="109"/>
  <c r="C469" i="109"/>
  <c r="M469" i="109"/>
  <c r="B470" i="109"/>
  <c r="C470" i="109"/>
  <c r="M470" i="109"/>
  <c r="B471" i="109"/>
  <c r="C471" i="109" s="1"/>
  <c r="M471" i="109"/>
  <c r="B472" i="109"/>
  <c r="C472" i="109" s="1"/>
  <c r="M472" i="109"/>
  <c r="B473" i="109"/>
  <c r="C473" i="109" s="1"/>
  <c r="M473" i="109"/>
  <c r="B474" i="109"/>
  <c r="C474" i="109" s="1"/>
  <c r="M474" i="109"/>
  <c r="B475" i="109"/>
  <c r="C475" i="109" s="1"/>
  <c r="M475" i="109"/>
  <c r="B476" i="109"/>
  <c r="C476" i="109" s="1"/>
  <c r="M476" i="109"/>
  <c r="B477" i="109"/>
  <c r="C477" i="109"/>
  <c r="M477" i="109"/>
  <c r="B478" i="109"/>
  <c r="C478" i="109"/>
  <c r="M478" i="109"/>
  <c r="B479" i="109"/>
  <c r="C479" i="109" s="1"/>
  <c r="M479" i="109"/>
  <c r="B480" i="109"/>
  <c r="C480" i="109" s="1"/>
  <c r="M480" i="109"/>
  <c r="B481" i="109"/>
  <c r="C481" i="109" s="1"/>
  <c r="M481" i="109"/>
  <c r="B482" i="109"/>
  <c r="C482" i="109"/>
  <c r="M482" i="109"/>
  <c r="B483" i="109"/>
  <c r="C483" i="109" s="1"/>
  <c r="M483" i="109"/>
  <c r="B484" i="109"/>
  <c r="C484" i="109"/>
  <c r="M484" i="109"/>
  <c r="B485" i="109"/>
  <c r="C485" i="109"/>
  <c r="M485" i="109"/>
  <c r="B486" i="109"/>
  <c r="C486" i="109"/>
  <c r="M486" i="109"/>
  <c r="B487" i="109"/>
  <c r="C487" i="109" s="1"/>
  <c r="M487" i="109"/>
  <c r="B488" i="109"/>
  <c r="C488" i="109" s="1"/>
  <c r="M488" i="109"/>
  <c r="B489" i="109"/>
  <c r="C489" i="109" s="1"/>
  <c r="M489" i="109"/>
  <c r="B490" i="109"/>
  <c r="C490" i="109" s="1"/>
  <c r="M490" i="109"/>
  <c r="B491" i="109"/>
  <c r="C491" i="109" s="1"/>
  <c r="M491" i="109"/>
  <c r="B492" i="109"/>
  <c r="C492" i="109" s="1"/>
  <c r="M492" i="109"/>
  <c r="B493" i="109"/>
  <c r="C493" i="109"/>
  <c r="M493" i="109"/>
  <c r="B494" i="109"/>
  <c r="C494" i="109"/>
  <c r="M494" i="109"/>
  <c r="B495" i="109"/>
  <c r="C495" i="109"/>
  <c r="M495" i="109"/>
  <c r="B496" i="109"/>
  <c r="C496" i="109" s="1"/>
  <c r="M496" i="109"/>
  <c r="B497" i="109"/>
  <c r="C497" i="109" s="1"/>
  <c r="M497" i="109"/>
  <c r="B498" i="109"/>
  <c r="C498" i="109"/>
  <c r="M498" i="109"/>
  <c r="B499" i="109"/>
  <c r="C499" i="109" s="1"/>
  <c r="M499" i="109"/>
  <c r="B500" i="109"/>
  <c r="C500" i="109"/>
  <c r="M500" i="109"/>
  <c r="B501" i="109"/>
  <c r="C501" i="109"/>
  <c r="M501" i="109"/>
  <c r="B502" i="109"/>
  <c r="C502" i="109"/>
  <c r="M502" i="109"/>
  <c r="B503" i="109"/>
  <c r="C503" i="109" s="1"/>
  <c r="M503" i="109"/>
  <c r="B504" i="109"/>
  <c r="C504" i="109" s="1"/>
  <c r="M504" i="109"/>
  <c r="B505" i="109"/>
  <c r="C505" i="109" s="1"/>
  <c r="M505" i="109"/>
  <c r="B506" i="109"/>
  <c r="C506" i="109" s="1"/>
  <c r="M506" i="109"/>
  <c r="B507" i="109"/>
  <c r="C507" i="109" s="1"/>
  <c r="M507" i="109"/>
  <c r="B508" i="109"/>
  <c r="C508" i="109" s="1"/>
  <c r="M508" i="109"/>
  <c r="B509" i="109"/>
  <c r="C509" i="109"/>
  <c r="M509" i="109"/>
  <c r="B510" i="109"/>
  <c r="C510" i="109"/>
  <c r="M510" i="109"/>
  <c r="B511" i="109"/>
  <c r="C511" i="109"/>
  <c r="M511" i="109"/>
  <c r="B512" i="109"/>
  <c r="C512" i="109" s="1"/>
  <c r="M512" i="109"/>
  <c r="B513" i="109"/>
  <c r="C513" i="109" s="1"/>
  <c r="M513" i="109"/>
  <c r="B514" i="109"/>
  <c r="C514" i="109"/>
  <c r="M514" i="109"/>
  <c r="B515" i="109"/>
  <c r="C515" i="109" s="1"/>
  <c r="M515" i="109"/>
  <c r="B516" i="109"/>
  <c r="C516" i="109"/>
  <c r="M516" i="109"/>
  <c r="B517" i="109"/>
  <c r="C517" i="109"/>
  <c r="M517" i="109"/>
  <c r="B518" i="109"/>
  <c r="C518" i="109"/>
  <c r="M518" i="109"/>
  <c r="B519" i="109"/>
  <c r="C519" i="109" s="1"/>
  <c r="M519" i="109"/>
  <c r="B520" i="109"/>
  <c r="C520" i="109" s="1"/>
  <c r="M520" i="109"/>
  <c r="B521" i="109"/>
  <c r="C521" i="109" s="1"/>
  <c r="M521" i="109"/>
  <c r="B522" i="109"/>
  <c r="C522" i="109" s="1"/>
  <c r="M522" i="109"/>
  <c r="B523" i="109"/>
  <c r="C523" i="109" s="1"/>
  <c r="M523" i="109"/>
  <c r="B524" i="109"/>
  <c r="C524" i="109" s="1"/>
  <c r="M524" i="109"/>
  <c r="B525" i="109"/>
  <c r="C525" i="109"/>
  <c r="M525" i="109"/>
  <c r="B526" i="109"/>
  <c r="C526" i="109"/>
  <c r="M526" i="109"/>
  <c r="B527" i="109"/>
  <c r="C527" i="109" s="1"/>
  <c r="M527" i="109"/>
  <c r="B528" i="109"/>
  <c r="C528" i="109" s="1"/>
  <c r="M528" i="109"/>
  <c r="B529" i="109"/>
  <c r="C529" i="109" s="1"/>
  <c r="M529" i="109"/>
  <c r="B530" i="109"/>
  <c r="C530" i="109"/>
  <c r="M530" i="109"/>
  <c r="B531" i="109"/>
  <c r="C531" i="109" s="1"/>
  <c r="M531" i="109"/>
  <c r="B532" i="109"/>
  <c r="C532" i="109"/>
  <c r="M532" i="109"/>
  <c r="B533" i="109"/>
  <c r="C533" i="109"/>
  <c r="M533" i="109"/>
  <c r="B534" i="109"/>
  <c r="C534" i="109"/>
  <c r="M534" i="109"/>
  <c r="B535" i="109"/>
  <c r="C535" i="109" s="1"/>
  <c r="M535" i="109"/>
  <c r="B536" i="109"/>
  <c r="C536" i="109" s="1"/>
  <c r="M536" i="109"/>
  <c r="B537" i="109"/>
  <c r="C537" i="109" s="1"/>
  <c r="M537" i="109"/>
  <c r="B538" i="109"/>
  <c r="C538" i="109" s="1"/>
  <c r="M538" i="109"/>
  <c r="B539" i="109"/>
  <c r="C539" i="109" s="1"/>
  <c r="M539" i="109"/>
  <c r="B540" i="109"/>
  <c r="C540" i="109" s="1"/>
  <c r="M540" i="109"/>
  <c r="B541" i="109"/>
  <c r="C541" i="109"/>
  <c r="M541" i="109"/>
  <c r="B542" i="109"/>
  <c r="C542" i="109"/>
  <c r="M542" i="109"/>
  <c r="B543" i="109"/>
  <c r="C543" i="109"/>
  <c r="M543" i="109"/>
  <c r="B544" i="109"/>
  <c r="C544" i="109" s="1"/>
  <c r="M544" i="109"/>
  <c r="B545" i="109"/>
  <c r="C545" i="109" s="1"/>
  <c r="M545" i="109"/>
  <c r="B546" i="109"/>
  <c r="C546" i="109"/>
  <c r="M546" i="109"/>
  <c r="B547" i="109"/>
  <c r="C547" i="109" s="1"/>
  <c r="M547" i="109"/>
  <c r="B548" i="109"/>
  <c r="C548" i="109"/>
  <c r="M548" i="109"/>
  <c r="B549" i="109"/>
  <c r="C549" i="109"/>
  <c r="M549" i="109"/>
  <c r="B550" i="109"/>
  <c r="C550" i="109"/>
  <c r="M550" i="109"/>
  <c r="B551" i="109"/>
  <c r="C551" i="109" s="1"/>
  <c r="M551" i="109"/>
  <c r="B552" i="109"/>
  <c r="C552" i="109" s="1"/>
  <c r="M552" i="109"/>
  <c r="B553" i="109"/>
  <c r="C553" i="109" s="1"/>
  <c r="M553" i="109"/>
  <c r="B554" i="109"/>
  <c r="C554" i="109" s="1"/>
  <c r="M554" i="109"/>
  <c r="B555" i="109"/>
  <c r="C555" i="109" s="1"/>
  <c r="M555" i="109"/>
  <c r="B556" i="109"/>
  <c r="C556" i="109" s="1"/>
  <c r="M556" i="109"/>
  <c r="B557" i="109"/>
  <c r="C557" i="109"/>
  <c r="M557" i="109"/>
  <c r="B558" i="109"/>
  <c r="C558" i="109"/>
  <c r="M558" i="109"/>
  <c r="B559" i="109"/>
  <c r="C559" i="109"/>
  <c r="M559" i="109"/>
  <c r="B560" i="109"/>
  <c r="C560" i="109" s="1"/>
  <c r="M560" i="109"/>
  <c r="B561" i="109"/>
  <c r="C561" i="109" s="1"/>
  <c r="M561" i="109"/>
  <c r="B562" i="109"/>
  <c r="C562" i="109"/>
  <c r="M562" i="109"/>
  <c r="B563" i="109"/>
  <c r="C563" i="109" s="1"/>
  <c r="M563" i="109"/>
  <c r="B564" i="109"/>
  <c r="C564" i="109"/>
  <c r="M564" i="109"/>
  <c r="B565" i="109"/>
  <c r="C565" i="109"/>
  <c r="M565" i="109"/>
  <c r="B566" i="109"/>
  <c r="C566" i="109"/>
  <c r="M566" i="109"/>
  <c r="B567" i="109"/>
  <c r="C567" i="109" s="1"/>
  <c r="M567" i="109"/>
  <c r="B568" i="109"/>
  <c r="C568" i="109" s="1"/>
  <c r="M568" i="109"/>
  <c r="B569" i="109"/>
  <c r="C569" i="109" s="1"/>
  <c r="M569" i="109"/>
  <c r="B570" i="109"/>
  <c r="C570" i="109" s="1"/>
  <c r="M570" i="109"/>
  <c r="B571" i="109"/>
  <c r="C571" i="109" s="1"/>
  <c r="M571" i="109"/>
  <c r="B572" i="109"/>
  <c r="C572" i="109" s="1"/>
  <c r="M572" i="109"/>
  <c r="B573" i="109"/>
  <c r="C573" i="109"/>
  <c r="M573" i="109"/>
  <c r="B574" i="109"/>
  <c r="C574" i="109"/>
  <c r="M574" i="109"/>
  <c r="B575" i="109"/>
  <c r="C575" i="109" s="1"/>
  <c r="M575" i="109"/>
  <c r="B576" i="109"/>
  <c r="C576" i="109" s="1"/>
  <c r="M576" i="109"/>
  <c r="B577" i="109"/>
  <c r="C577" i="109" s="1"/>
  <c r="M577" i="109"/>
  <c r="B578" i="109"/>
  <c r="C578" i="109"/>
  <c r="M578" i="109"/>
  <c r="B579" i="109"/>
  <c r="C579" i="109" s="1"/>
  <c r="M579" i="109"/>
  <c r="B580" i="109"/>
  <c r="C580" i="109"/>
  <c r="M580" i="109"/>
  <c r="B581" i="109"/>
  <c r="C581" i="109"/>
  <c r="M581" i="109"/>
  <c r="B582" i="109"/>
  <c r="C582" i="109"/>
  <c r="M582" i="109"/>
  <c r="B583" i="109"/>
  <c r="C583" i="109" s="1"/>
  <c r="M583" i="109"/>
  <c r="B584" i="109"/>
  <c r="C584" i="109" s="1"/>
  <c r="M584" i="109"/>
  <c r="B585" i="109"/>
  <c r="C585" i="109" s="1"/>
  <c r="M585" i="109"/>
  <c r="B586" i="109"/>
  <c r="C586" i="109" s="1"/>
  <c r="M586" i="109"/>
  <c r="B587" i="109"/>
  <c r="C587" i="109" s="1"/>
  <c r="M587" i="109"/>
  <c r="B588" i="109"/>
  <c r="C588" i="109" s="1"/>
  <c r="M588" i="109"/>
  <c r="B589" i="109"/>
  <c r="C589" i="109"/>
  <c r="M589" i="109"/>
  <c r="B590" i="109"/>
  <c r="C590" i="109"/>
  <c r="M590" i="109"/>
  <c r="B591" i="109"/>
  <c r="C591" i="109" s="1"/>
  <c r="M591" i="109"/>
  <c r="B592" i="109"/>
  <c r="C592" i="109" s="1"/>
  <c r="M592" i="109"/>
  <c r="B593" i="109"/>
  <c r="C593" i="109" s="1"/>
  <c r="M593" i="109"/>
  <c r="B594" i="109"/>
  <c r="C594" i="109"/>
  <c r="M594" i="109"/>
  <c r="B595" i="109"/>
  <c r="C595" i="109" s="1"/>
  <c r="M595" i="109"/>
  <c r="B596" i="109"/>
  <c r="C596" i="109"/>
  <c r="M596" i="109"/>
  <c r="B597" i="109"/>
  <c r="C597" i="109"/>
  <c r="M597" i="109"/>
  <c r="B598" i="109"/>
  <c r="C598" i="109"/>
  <c r="M598" i="109"/>
  <c r="B599" i="109"/>
  <c r="C599" i="109" s="1"/>
  <c r="M599" i="109"/>
  <c r="B600" i="109"/>
  <c r="C600" i="109" s="1"/>
  <c r="M600" i="109"/>
  <c r="B601" i="109"/>
  <c r="C601" i="109" s="1"/>
  <c r="M601" i="109"/>
  <c r="B602" i="109"/>
  <c r="C602" i="109" s="1"/>
  <c r="M602" i="109"/>
  <c r="B603" i="109"/>
  <c r="C603" i="109" s="1"/>
  <c r="M603" i="109"/>
  <c r="B604" i="109"/>
  <c r="C604" i="109" s="1"/>
  <c r="M604" i="109"/>
  <c r="B605" i="109"/>
  <c r="C605" i="109"/>
  <c r="M605" i="109"/>
  <c r="B606" i="109"/>
  <c r="C606" i="109"/>
  <c r="M606" i="109"/>
  <c r="B607" i="109"/>
  <c r="C607" i="109"/>
  <c r="M607" i="109"/>
  <c r="B608" i="109"/>
  <c r="C608" i="109" s="1"/>
  <c r="M608" i="109"/>
  <c r="B609" i="109"/>
  <c r="C609" i="109" s="1"/>
  <c r="M609" i="109"/>
  <c r="B610" i="109"/>
  <c r="C610" i="109"/>
  <c r="M610" i="109"/>
  <c r="B611" i="109"/>
  <c r="C611" i="109" s="1"/>
  <c r="M611" i="109"/>
  <c r="B612" i="109"/>
  <c r="C612" i="109"/>
  <c r="M612" i="109"/>
  <c r="B613" i="109"/>
  <c r="C613" i="109"/>
  <c r="M613" i="109"/>
  <c r="B614" i="109"/>
  <c r="C614" i="109"/>
  <c r="M614" i="109"/>
  <c r="B615" i="109"/>
  <c r="C615" i="109" s="1"/>
  <c r="M615" i="109"/>
  <c r="B616" i="109"/>
  <c r="C616" i="109" s="1"/>
  <c r="M616" i="109"/>
  <c r="B617" i="109"/>
  <c r="C617" i="109" s="1"/>
  <c r="M617" i="109"/>
  <c r="B618" i="109"/>
  <c r="C618" i="109" s="1"/>
  <c r="M618" i="109"/>
  <c r="B619" i="109"/>
  <c r="C619" i="109" s="1"/>
  <c r="M619" i="109"/>
  <c r="B620" i="109"/>
  <c r="C620" i="109" s="1"/>
  <c r="M620" i="109"/>
  <c r="B621" i="109"/>
  <c r="C621" i="109"/>
  <c r="M621" i="109"/>
  <c r="B622" i="109"/>
  <c r="C622" i="109"/>
  <c r="M622" i="109"/>
  <c r="B623" i="109"/>
  <c r="C623" i="109"/>
  <c r="M623" i="109"/>
  <c r="B624" i="109"/>
  <c r="C624" i="109" s="1"/>
  <c r="M624" i="109"/>
  <c r="B625" i="109"/>
  <c r="C625" i="109" s="1"/>
  <c r="M625" i="109"/>
  <c r="B626" i="109"/>
  <c r="C626" i="109"/>
  <c r="M626" i="109"/>
  <c r="B627" i="109"/>
  <c r="C627" i="109" s="1"/>
  <c r="M627" i="109"/>
  <c r="B628" i="109"/>
  <c r="C628" i="109"/>
  <c r="M628" i="109"/>
  <c r="B629" i="109"/>
  <c r="C629" i="109"/>
  <c r="M629" i="109"/>
  <c r="B630" i="109"/>
  <c r="C630" i="109"/>
  <c r="M630" i="109"/>
  <c r="B631" i="109"/>
  <c r="C631" i="109" s="1"/>
  <c r="M631" i="109"/>
  <c r="B632" i="109"/>
  <c r="C632" i="109" s="1"/>
  <c r="M632" i="109"/>
  <c r="B633" i="109"/>
  <c r="C633" i="109" s="1"/>
  <c r="M633" i="109"/>
  <c r="B634" i="109"/>
  <c r="C634" i="109" s="1"/>
  <c r="M634" i="109"/>
  <c r="B635" i="109"/>
  <c r="C635" i="109" s="1"/>
  <c r="M635" i="109"/>
  <c r="B636" i="109"/>
  <c r="C636" i="109" s="1"/>
  <c r="M636" i="109"/>
  <c r="B637" i="109"/>
  <c r="C637" i="109"/>
  <c r="M637" i="109"/>
  <c r="B638" i="109"/>
  <c r="C638" i="109" s="1"/>
  <c r="M638" i="109"/>
  <c r="B639" i="109"/>
  <c r="C639" i="109" s="1"/>
  <c r="M639" i="109"/>
  <c r="B640" i="109"/>
  <c r="C640" i="109" s="1"/>
  <c r="M640" i="109"/>
  <c r="B641" i="109"/>
  <c r="C641" i="109" s="1"/>
  <c r="M641" i="109"/>
  <c r="B642" i="109"/>
  <c r="C642" i="109"/>
  <c r="M642" i="109"/>
  <c r="B643" i="109"/>
  <c r="C643" i="109" s="1"/>
  <c r="M643" i="109"/>
  <c r="B644" i="109"/>
  <c r="C644" i="109"/>
  <c r="M644" i="109"/>
  <c r="B645" i="109"/>
  <c r="C645" i="109"/>
  <c r="M645" i="109"/>
  <c r="B646" i="109"/>
  <c r="C646" i="109"/>
  <c r="M646" i="109"/>
  <c r="B647" i="109"/>
  <c r="C647" i="109" s="1"/>
  <c r="M647" i="109"/>
  <c r="B648" i="109"/>
  <c r="C648" i="109" s="1"/>
  <c r="M648" i="109"/>
  <c r="B649" i="109"/>
  <c r="C649" i="109"/>
  <c r="M649" i="109"/>
  <c r="B650" i="109"/>
  <c r="C650" i="109" s="1"/>
  <c r="M650" i="109"/>
  <c r="B651" i="109"/>
  <c r="C651" i="109" s="1"/>
  <c r="M651" i="109"/>
  <c r="B652" i="109"/>
  <c r="C652" i="109" s="1"/>
  <c r="M652" i="109"/>
  <c r="B653" i="109"/>
  <c r="C653" i="109"/>
  <c r="M653" i="109"/>
  <c r="B654" i="109"/>
  <c r="C654" i="109" s="1"/>
  <c r="M654" i="109"/>
  <c r="B655" i="109"/>
  <c r="C655" i="109"/>
  <c r="M655" i="109"/>
  <c r="B656" i="109"/>
  <c r="C656" i="109" s="1"/>
  <c r="M656" i="109"/>
  <c r="B657" i="109"/>
  <c r="C657" i="109" s="1"/>
  <c r="M657" i="109"/>
  <c r="B658" i="109"/>
  <c r="C658" i="109"/>
  <c r="M658" i="109"/>
  <c r="B659" i="109"/>
  <c r="C659" i="109" s="1"/>
  <c r="M659" i="109"/>
  <c r="B660" i="109"/>
  <c r="C660" i="109"/>
  <c r="M660" i="109"/>
  <c r="B661" i="109"/>
  <c r="C661" i="109"/>
  <c r="M661" i="109"/>
  <c r="B662" i="109"/>
  <c r="C662" i="109"/>
  <c r="M662" i="109"/>
  <c r="B663" i="109"/>
  <c r="C663" i="109" s="1"/>
  <c r="M663" i="109"/>
  <c r="B664" i="109"/>
  <c r="C664" i="109" s="1"/>
  <c r="M664" i="109"/>
  <c r="B665" i="109"/>
  <c r="C665" i="109"/>
  <c r="M665" i="109"/>
  <c r="B666" i="109"/>
  <c r="C666" i="109" s="1"/>
  <c r="M666" i="109"/>
  <c r="B667" i="109"/>
  <c r="C667" i="109" s="1"/>
  <c r="M667" i="109"/>
  <c r="B668" i="109"/>
  <c r="C668" i="109" s="1"/>
  <c r="M668" i="109"/>
  <c r="B669" i="109"/>
  <c r="C669" i="109"/>
  <c r="M669" i="109"/>
  <c r="B670" i="109"/>
  <c r="C670" i="109" s="1"/>
  <c r="M670" i="109"/>
  <c r="B671" i="109"/>
  <c r="C671" i="109"/>
  <c r="M671" i="109"/>
  <c r="B672" i="109"/>
  <c r="C672" i="109" s="1"/>
  <c r="M672" i="109"/>
  <c r="B673" i="109"/>
  <c r="C673" i="109" s="1"/>
  <c r="M673" i="109"/>
  <c r="B674" i="109"/>
  <c r="C674" i="109"/>
  <c r="M674" i="109"/>
  <c r="B675" i="109"/>
  <c r="C675" i="109" s="1"/>
  <c r="M675" i="109"/>
  <c r="B676" i="109"/>
  <c r="C676" i="109"/>
  <c r="M676" i="109"/>
  <c r="B677" i="109"/>
  <c r="C677" i="109"/>
  <c r="M677" i="109"/>
  <c r="B678" i="109"/>
  <c r="C678" i="109"/>
  <c r="M678" i="109"/>
  <c r="B679" i="109"/>
  <c r="C679" i="109" s="1"/>
  <c r="M679" i="109"/>
  <c r="B680" i="109"/>
  <c r="C680" i="109" s="1"/>
  <c r="M680" i="109"/>
  <c r="B681" i="109"/>
  <c r="C681" i="109"/>
  <c r="M681" i="109"/>
  <c r="B682" i="109"/>
  <c r="C682" i="109" s="1"/>
  <c r="M682" i="109"/>
  <c r="B683" i="109"/>
  <c r="C683" i="109" s="1"/>
  <c r="M683" i="109"/>
  <c r="B684" i="109"/>
  <c r="C684" i="109" s="1"/>
  <c r="M684" i="109"/>
  <c r="B685" i="109"/>
  <c r="C685" i="109"/>
  <c r="M685" i="109"/>
  <c r="B686" i="109"/>
  <c r="C686" i="109" s="1"/>
  <c r="M686" i="109"/>
  <c r="B687" i="109"/>
  <c r="C687" i="109"/>
  <c r="M687" i="109"/>
  <c r="B688" i="109"/>
  <c r="C688" i="109" s="1"/>
  <c r="M688" i="109"/>
  <c r="B689" i="109"/>
  <c r="C689" i="109" s="1"/>
  <c r="M689" i="109"/>
  <c r="B690" i="109"/>
  <c r="C690" i="109"/>
  <c r="M690" i="109"/>
  <c r="B691" i="109"/>
  <c r="C691" i="109" s="1"/>
  <c r="M691" i="109"/>
  <c r="B692" i="109"/>
  <c r="C692" i="109"/>
  <c r="M692" i="109"/>
  <c r="B693" i="109"/>
  <c r="C693" i="109"/>
  <c r="M693" i="109"/>
  <c r="B694" i="109"/>
  <c r="C694" i="109"/>
  <c r="M694" i="109"/>
  <c r="B695" i="109"/>
  <c r="C695" i="109" s="1"/>
  <c r="M695" i="109"/>
  <c r="B696" i="109"/>
  <c r="C696" i="109" s="1"/>
  <c r="M696" i="109"/>
  <c r="B697" i="109"/>
  <c r="C697" i="109"/>
  <c r="M697" i="109"/>
  <c r="B698" i="109"/>
  <c r="C698" i="109" s="1"/>
  <c r="M698" i="109"/>
  <c r="B699" i="109"/>
  <c r="C699" i="109" s="1"/>
  <c r="M699" i="109"/>
  <c r="B700" i="109"/>
  <c r="C700" i="109" s="1"/>
  <c r="M700" i="109"/>
  <c r="B701" i="109"/>
  <c r="C701" i="109"/>
  <c r="M701" i="109"/>
  <c r="B702" i="109"/>
  <c r="C702" i="109" s="1"/>
  <c r="M702" i="109"/>
  <c r="B703" i="109"/>
  <c r="C703" i="109" s="1"/>
  <c r="M703" i="109"/>
  <c r="B704" i="109"/>
  <c r="C704" i="109" s="1"/>
  <c r="M704" i="109"/>
  <c r="B705" i="109"/>
  <c r="C705" i="109" s="1"/>
  <c r="M705" i="109"/>
  <c r="B706" i="109"/>
  <c r="C706" i="109"/>
  <c r="M706" i="109"/>
  <c r="B707" i="109"/>
  <c r="C707" i="109" s="1"/>
  <c r="M707" i="109"/>
  <c r="B708" i="109"/>
  <c r="C708" i="109"/>
  <c r="M708" i="109"/>
  <c r="B7" i="90"/>
  <c r="C7" i="90"/>
  <c r="L7" i="90" s="1"/>
  <c r="K7" i="90"/>
  <c r="B8" i="90"/>
  <c r="C8" i="90" s="1"/>
  <c r="L8" i="90" s="1"/>
  <c r="K8" i="90"/>
  <c r="B9" i="90"/>
  <c r="C9" i="90"/>
  <c r="L9" i="90" s="1"/>
  <c r="K9" i="90"/>
  <c r="B10" i="90"/>
  <c r="C10" i="90"/>
  <c r="K10" i="90"/>
  <c r="L10" i="90"/>
  <c r="B11" i="90"/>
  <c r="C11" i="90"/>
  <c r="L11" i="90" s="1"/>
  <c r="K11" i="90"/>
  <c r="B12" i="90"/>
  <c r="C12" i="90" s="1"/>
  <c r="L12" i="90" s="1"/>
  <c r="K12" i="90"/>
  <c r="B13" i="90"/>
  <c r="C13" i="90"/>
  <c r="L13" i="90" s="1"/>
  <c r="K13" i="90"/>
  <c r="B14" i="90"/>
  <c r="C14" i="90"/>
  <c r="K14" i="90"/>
  <c r="L14" i="90"/>
  <c r="B15" i="90"/>
  <c r="C15" i="90"/>
  <c r="L15" i="90" s="1"/>
  <c r="K15" i="90"/>
  <c r="B16" i="90"/>
  <c r="C16" i="90" s="1"/>
  <c r="L16" i="90" s="1"/>
  <c r="K16" i="90"/>
  <c r="B17" i="90"/>
  <c r="C17" i="90"/>
  <c r="L17" i="90" s="1"/>
  <c r="K17" i="90"/>
  <c r="K18" i="90"/>
  <c r="B18" i="90"/>
  <c r="C18" i="90"/>
  <c r="L18" i="90"/>
  <c r="K19" i="90"/>
  <c r="B19" i="90"/>
  <c r="C19" i="90" s="1"/>
  <c r="L19" i="90" s="1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K102" i="90"/>
  <c r="K103" i="90"/>
  <c r="K104" i="90"/>
  <c r="K105" i="90"/>
  <c r="K106" i="90"/>
  <c r="K107" i="90"/>
  <c r="K108" i="90"/>
  <c r="K109" i="90"/>
  <c r="K110" i="90"/>
  <c r="K111" i="90"/>
  <c r="K112" i="90"/>
  <c r="K113" i="90"/>
  <c r="K114" i="90"/>
  <c r="K115" i="90"/>
  <c r="K116" i="90"/>
  <c r="K117" i="90"/>
  <c r="K118" i="90"/>
  <c r="K119" i="90"/>
  <c r="K120" i="90"/>
  <c r="K121" i="90"/>
  <c r="K122" i="90"/>
  <c r="K123" i="90"/>
  <c r="K124" i="90"/>
  <c r="K125" i="90"/>
  <c r="K126" i="90"/>
  <c r="K127" i="90"/>
  <c r="K128" i="90"/>
  <c r="K129" i="90"/>
  <c r="K130" i="90"/>
  <c r="K131" i="90"/>
  <c r="K132" i="90"/>
  <c r="K133" i="90"/>
  <c r="K134" i="90"/>
  <c r="K135" i="90"/>
  <c r="K136" i="90"/>
  <c r="K137" i="90"/>
  <c r="K138" i="90"/>
  <c r="K139" i="90"/>
  <c r="K140" i="90"/>
  <c r="K141" i="90"/>
  <c r="K142" i="90"/>
  <c r="K143" i="90"/>
  <c r="K144" i="90"/>
  <c r="K145" i="90"/>
  <c r="K146" i="90"/>
  <c r="K147" i="90"/>
  <c r="K148" i="90"/>
  <c r="K149" i="90"/>
  <c r="K150" i="90"/>
  <c r="K151" i="90"/>
  <c r="K152" i="90"/>
  <c r="K153" i="90"/>
  <c r="K154" i="90"/>
  <c r="K155" i="90"/>
  <c r="K156" i="90"/>
  <c r="K157" i="90"/>
  <c r="K158" i="90"/>
  <c r="K159" i="90"/>
  <c r="K160" i="90"/>
  <c r="K161" i="90"/>
  <c r="K162" i="90"/>
  <c r="K163" i="90"/>
  <c r="K164" i="90"/>
  <c r="K165" i="90"/>
  <c r="K166" i="90"/>
  <c r="K167" i="90"/>
  <c r="K168" i="90"/>
  <c r="K169" i="90"/>
  <c r="K170" i="90"/>
  <c r="K171" i="90"/>
  <c r="K172" i="90"/>
  <c r="K173" i="90"/>
  <c r="K174" i="90"/>
  <c r="K175" i="90"/>
  <c r="K176" i="90"/>
  <c r="K177" i="90"/>
  <c r="K178" i="90"/>
  <c r="K179" i="90"/>
  <c r="K180" i="90"/>
  <c r="K181" i="90"/>
  <c r="K182" i="90"/>
  <c r="K183" i="90"/>
  <c r="K184" i="90"/>
  <c r="K185" i="90"/>
  <c r="K186" i="90"/>
  <c r="K187" i="90"/>
  <c r="K188" i="90"/>
  <c r="K189" i="90"/>
  <c r="K190" i="90"/>
  <c r="K191" i="90"/>
  <c r="K192" i="90"/>
  <c r="K193" i="90"/>
  <c r="K194" i="90"/>
  <c r="K195" i="90"/>
  <c r="K196" i="90"/>
  <c r="K197" i="90"/>
  <c r="K198" i="90"/>
  <c r="K199" i="90"/>
  <c r="K200" i="90"/>
  <c r="K201" i="90"/>
  <c r="K202" i="90"/>
  <c r="K203" i="90"/>
  <c r="K204" i="90"/>
  <c r="K205" i="90"/>
  <c r="K206" i="90"/>
  <c r="K207" i="90"/>
  <c r="K208" i="90"/>
  <c r="K209" i="90"/>
  <c r="K210" i="90"/>
  <c r="K211" i="90"/>
  <c r="K212" i="90"/>
  <c r="K213" i="90"/>
  <c r="K214" i="90"/>
  <c r="K215" i="90"/>
  <c r="K216" i="90"/>
  <c r="K217" i="90"/>
  <c r="K218" i="90"/>
  <c r="K219" i="90"/>
  <c r="K220" i="90"/>
  <c r="K221" i="90"/>
  <c r="K222" i="90"/>
  <c r="K223" i="90"/>
  <c r="K224" i="90"/>
  <c r="K225" i="90"/>
  <c r="K226" i="90"/>
  <c r="K227" i="90"/>
  <c r="K228" i="90"/>
  <c r="K229" i="90"/>
  <c r="K230" i="90"/>
  <c r="K231" i="90"/>
  <c r="K232" i="90"/>
  <c r="K233" i="90"/>
  <c r="K234" i="90"/>
  <c r="K235" i="90"/>
  <c r="K236" i="90"/>
  <c r="K237" i="90"/>
  <c r="K238" i="90"/>
  <c r="K239" i="90"/>
  <c r="K240" i="90"/>
  <c r="K241" i="90"/>
  <c r="K242" i="90"/>
  <c r="K243" i="90"/>
  <c r="K244" i="90"/>
  <c r="K245" i="90"/>
  <c r="K246" i="90"/>
  <c r="K247" i="90"/>
  <c r="K248" i="90"/>
  <c r="K249" i="90"/>
  <c r="K250" i="90"/>
  <c r="K251" i="90"/>
  <c r="K252" i="90"/>
  <c r="K253" i="90"/>
  <c r="K254" i="90"/>
  <c r="K255" i="90"/>
  <c r="K256" i="90"/>
  <c r="K257" i="90"/>
  <c r="K258" i="90"/>
  <c r="K259" i="90"/>
  <c r="K260" i="90"/>
  <c r="K261" i="90"/>
  <c r="K262" i="90"/>
  <c r="K263" i="90"/>
  <c r="K264" i="90"/>
  <c r="K265" i="90"/>
  <c r="K266" i="90"/>
  <c r="K267" i="90"/>
  <c r="K268" i="90"/>
  <c r="K269" i="90"/>
  <c r="K270" i="90"/>
  <c r="K271" i="90"/>
  <c r="K272" i="90"/>
  <c r="K273" i="90"/>
  <c r="K274" i="90"/>
  <c r="K275" i="90"/>
  <c r="K276" i="90"/>
  <c r="K277" i="90"/>
  <c r="K278" i="90"/>
  <c r="K279" i="90"/>
  <c r="K280" i="90"/>
  <c r="K281" i="90"/>
  <c r="K282" i="90"/>
  <c r="K283" i="90"/>
  <c r="K284" i="90"/>
  <c r="K285" i="90"/>
  <c r="K286" i="90"/>
  <c r="K287" i="90"/>
  <c r="K288" i="90"/>
  <c r="K289" i="90"/>
  <c r="K290" i="90"/>
  <c r="K291" i="90"/>
  <c r="K292" i="90"/>
  <c r="K293" i="90"/>
  <c r="K294" i="90"/>
  <c r="K295" i="90"/>
  <c r="K296" i="90"/>
  <c r="K297" i="90"/>
  <c r="K298" i="90"/>
  <c r="K299" i="90"/>
  <c r="K300" i="90"/>
  <c r="K301" i="90"/>
  <c r="K302" i="90"/>
  <c r="K303" i="90"/>
  <c r="K304" i="90"/>
  <c r="K305" i="90"/>
  <c r="K306" i="90"/>
  <c r="K307" i="90"/>
  <c r="K308" i="90"/>
  <c r="K309" i="90"/>
  <c r="K310" i="90"/>
  <c r="K311" i="90"/>
  <c r="K312" i="90"/>
  <c r="K313" i="90"/>
  <c r="K314" i="90"/>
  <c r="K315" i="90"/>
  <c r="K316" i="90"/>
  <c r="K317" i="90"/>
  <c r="K318" i="90"/>
  <c r="K319" i="90"/>
  <c r="K320" i="90"/>
  <c r="K321" i="90"/>
  <c r="K322" i="90"/>
  <c r="K323" i="90"/>
  <c r="K324" i="90"/>
  <c r="K325" i="90"/>
  <c r="K326" i="90"/>
  <c r="K327" i="90"/>
  <c r="K328" i="90"/>
  <c r="K329" i="90"/>
  <c r="K330" i="90"/>
  <c r="K331" i="90"/>
  <c r="K332" i="90"/>
  <c r="K333" i="90"/>
  <c r="K334" i="90"/>
  <c r="K335" i="90"/>
  <c r="K336" i="90"/>
  <c r="K337" i="90"/>
  <c r="K338" i="90"/>
  <c r="K339" i="90"/>
  <c r="K340" i="90"/>
  <c r="K341" i="90"/>
  <c r="K342" i="90"/>
  <c r="K343" i="90"/>
  <c r="K344" i="90"/>
  <c r="K345" i="90"/>
  <c r="K346" i="90"/>
  <c r="K347" i="90"/>
  <c r="K348" i="90"/>
  <c r="K349" i="90"/>
  <c r="K350" i="90"/>
  <c r="K351" i="90"/>
  <c r="K352" i="90"/>
  <c r="K353" i="90"/>
  <c r="K354" i="90"/>
  <c r="K355" i="90"/>
  <c r="K356" i="90"/>
  <c r="K357" i="90"/>
  <c r="K358" i="90"/>
  <c r="K359" i="90"/>
  <c r="K360" i="90"/>
  <c r="K361" i="90"/>
  <c r="K362" i="90"/>
  <c r="K363" i="90"/>
  <c r="K364" i="90"/>
  <c r="K365" i="90"/>
  <c r="K366" i="90"/>
  <c r="K367" i="90"/>
  <c r="K368" i="90"/>
  <c r="K369" i="90"/>
  <c r="K370" i="90"/>
  <c r="K371" i="90"/>
  <c r="K372" i="90"/>
  <c r="K373" i="90"/>
  <c r="K374" i="90"/>
  <c r="K375" i="90"/>
  <c r="K376" i="90"/>
  <c r="K377" i="90"/>
  <c r="K378" i="90"/>
  <c r="K379" i="90"/>
  <c r="K380" i="90"/>
  <c r="K381" i="90"/>
  <c r="K382" i="90"/>
  <c r="K383" i="90"/>
  <c r="K384" i="90"/>
  <c r="K385" i="90"/>
  <c r="K386" i="90"/>
  <c r="K387" i="90"/>
  <c r="K388" i="90"/>
  <c r="K389" i="90"/>
  <c r="K390" i="90"/>
  <c r="K391" i="90"/>
  <c r="K392" i="90"/>
  <c r="K393" i="90"/>
  <c r="K394" i="90"/>
  <c r="K395" i="90"/>
  <c r="K396" i="90"/>
  <c r="K397" i="90"/>
  <c r="K398" i="90"/>
  <c r="K399" i="90"/>
  <c r="K400" i="90"/>
  <c r="K401" i="90"/>
  <c r="K402" i="90"/>
  <c r="K403" i="90"/>
  <c r="K404" i="90"/>
  <c r="K405" i="90"/>
  <c r="K406" i="90"/>
  <c r="K407" i="90"/>
  <c r="K408" i="90"/>
  <c r="K409" i="90"/>
  <c r="K410" i="90"/>
  <c r="K411" i="90"/>
  <c r="K412" i="90"/>
  <c r="K413" i="90"/>
  <c r="K414" i="90"/>
  <c r="K415" i="90"/>
  <c r="K416" i="90"/>
  <c r="K417" i="90"/>
  <c r="K418" i="90"/>
  <c r="K419" i="90"/>
  <c r="K420" i="90"/>
  <c r="K421" i="90"/>
  <c r="K422" i="90"/>
  <c r="K423" i="90"/>
  <c r="K424" i="90"/>
  <c r="K425" i="90"/>
  <c r="K426" i="90"/>
  <c r="K427" i="90"/>
  <c r="K428" i="90"/>
  <c r="K429" i="90"/>
  <c r="K430" i="90"/>
  <c r="K431" i="90"/>
  <c r="K432" i="90"/>
  <c r="K433" i="90"/>
  <c r="K434" i="90"/>
  <c r="K435" i="90"/>
  <c r="K436" i="90"/>
  <c r="K437" i="90"/>
  <c r="K438" i="90"/>
  <c r="K439" i="90"/>
  <c r="K440" i="90"/>
  <c r="K441" i="90"/>
  <c r="K442" i="90"/>
  <c r="K443" i="90"/>
  <c r="K444" i="90"/>
  <c r="K445" i="90"/>
  <c r="K446" i="90"/>
  <c r="K447" i="90"/>
  <c r="K448" i="90"/>
  <c r="K449" i="90"/>
  <c r="K450" i="90"/>
  <c r="K451" i="90"/>
  <c r="K452" i="90"/>
  <c r="K453" i="90"/>
  <c r="K454" i="90"/>
  <c r="K455" i="90"/>
  <c r="K456" i="90"/>
  <c r="K457" i="90"/>
  <c r="K458" i="90"/>
  <c r="K459" i="90"/>
  <c r="K460" i="90"/>
  <c r="K461" i="90"/>
  <c r="K462" i="90"/>
  <c r="K463" i="90"/>
  <c r="K464" i="90"/>
  <c r="K465" i="90"/>
  <c r="K466" i="90"/>
  <c r="K467" i="90"/>
  <c r="K468" i="90"/>
  <c r="K469" i="90"/>
  <c r="K470" i="90"/>
  <c r="K471" i="90"/>
  <c r="K472" i="90"/>
  <c r="K473" i="90"/>
  <c r="K474" i="90"/>
  <c r="K475" i="90"/>
  <c r="K476" i="90"/>
  <c r="K477" i="90"/>
  <c r="K478" i="90"/>
  <c r="K479" i="90"/>
  <c r="K480" i="90"/>
  <c r="K481" i="90"/>
  <c r="K482" i="90"/>
  <c r="K483" i="90"/>
  <c r="K484" i="90"/>
  <c r="K485" i="90"/>
  <c r="K486" i="90"/>
  <c r="K487" i="90"/>
  <c r="K488" i="90"/>
  <c r="K489" i="90"/>
  <c r="K490" i="90"/>
  <c r="K491" i="90"/>
  <c r="K492" i="90"/>
  <c r="K493" i="90"/>
  <c r="K494" i="90"/>
  <c r="K495" i="90"/>
  <c r="K496" i="90"/>
  <c r="K497" i="90"/>
  <c r="K498" i="90"/>
  <c r="K499" i="90"/>
  <c r="K500" i="90"/>
  <c r="K501" i="90"/>
  <c r="K502" i="90"/>
  <c r="K503" i="90"/>
  <c r="K504" i="90"/>
  <c r="K505" i="90"/>
  <c r="K506" i="90"/>
  <c r="K507" i="90"/>
  <c r="K508" i="90"/>
  <c r="K509" i="90"/>
  <c r="K510" i="90"/>
  <c r="K511" i="90"/>
  <c r="K512" i="90"/>
  <c r="K513" i="90"/>
  <c r="K514" i="90"/>
  <c r="K515" i="90"/>
  <c r="K516" i="90"/>
  <c r="K517" i="90"/>
  <c r="K518" i="90"/>
  <c r="K519" i="90"/>
  <c r="K520" i="90"/>
  <c r="K521" i="90"/>
  <c r="K522" i="90"/>
  <c r="K523" i="90"/>
  <c r="K524" i="90"/>
  <c r="K525" i="90"/>
  <c r="K526" i="90"/>
  <c r="K527" i="90"/>
  <c r="K528" i="90"/>
  <c r="K529" i="90"/>
  <c r="K530" i="90"/>
  <c r="K531" i="90"/>
  <c r="K532" i="90"/>
  <c r="K533" i="90"/>
  <c r="K534" i="90"/>
  <c r="K535" i="90"/>
  <c r="K536" i="90"/>
  <c r="K537" i="90"/>
  <c r="K538" i="90"/>
  <c r="K539" i="90"/>
  <c r="K540" i="90"/>
  <c r="K541" i="90"/>
  <c r="K542" i="90"/>
  <c r="K543" i="90"/>
  <c r="K544" i="90"/>
  <c r="K545" i="90"/>
  <c r="K546" i="90"/>
  <c r="K547" i="90"/>
  <c r="K548" i="90"/>
  <c r="K549" i="90"/>
  <c r="K550" i="90"/>
  <c r="K551" i="90"/>
  <c r="K552" i="90"/>
  <c r="K553" i="90"/>
  <c r="K554" i="90"/>
  <c r="K555" i="90"/>
  <c r="K556" i="90"/>
  <c r="K557" i="90"/>
  <c r="K558" i="90"/>
  <c r="K559" i="90"/>
  <c r="K560" i="90"/>
  <c r="K561" i="90"/>
  <c r="K562" i="90"/>
  <c r="K563" i="90"/>
  <c r="K564" i="90"/>
  <c r="K565" i="90"/>
  <c r="K566" i="90"/>
  <c r="K567" i="90"/>
  <c r="K568" i="90"/>
  <c r="K569" i="90"/>
  <c r="K570" i="90"/>
  <c r="K571" i="90"/>
  <c r="K572" i="90"/>
  <c r="K573" i="90"/>
  <c r="K574" i="90"/>
  <c r="K575" i="90"/>
  <c r="K576" i="90"/>
  <c r="K577" i="90"/>
  <c r="K578" i="90"/>
  <c r="K579" i="90"/>
  <c r="K580" i="90"/>
  <c r="K581" i="90"/>
  <c r="K582" i="90"/>
  <c r="K583" i="90"/>
  <c r="K584" i="90"/>
  <c r="K585" i="90"/>
  <c r="K586" i="90"/>
  <c r="K587" i="90"/>
  <c r="K588" i="90"/>
  <c r="K589" i="90"/>
  <c r="K590" i="90"/>
  <c r="K591" i="90"/>
  <c r="K592" i="90"/>
  <c r="K593" i="90"/>
  <c r="K594" i="90"/>
  <c r="K595" i="90"/>
  <c r="K596" i="90"/>
  <c r="K597" i="90"/>
  <c r="K598" i="90"/>
  <c r="K599" i="90"/>
  <c r="K600" i="90"/>
  <c r="K601" i="90"/>
  <c r="K602" i="90"/>
  <c r="K603" i="90"/>
  <c r="K604" i="90"/>
  <c r="K605" i="90"/>
  <c r="K606" i="90"/>
  <c r="K607" i="90"/>
  <c r="K608" i="90"/>
  <c r="K609" i="90"/>
  <c r="K610" i="90"/>
  <c r="K611" i="90"/>
  <c r="K612" i="90"/>
  <c r="K613" i="90"/>
  <c r="K614" i="90"/>
  <c r="K615" i="90"/>
  <c r="K616" i="90"/>
  <c r="K617" i="90"/>
  <c r="K618" i="90"/>
  <c r="K619" i="90"/>
  <c r="K620" i="90"/>
  <c r="K621" i="90"/>
  <c r="K622" i="90"/>
  <c r="K623" i="90"/>
  <c r="K624" i="90"/>
  <c r="K625" i="90"/>
  <c r="K626" i="90"/>
  <c r="K627" i="90"/>
  <c r="K628" i="90"/>
  <c r="K629" i="90"/>
  <c r="K630" i="90"/>
  <c r="K631" i="90"/>
  <c r="K632" i="90"/>
  <c r="K633" i="90"/>
  <c r="K634" i="90"/>
  <c r="K635" i="90"/>
  <c r="K636" i="90"/>
  <c r="K637" i="90"/>
  <c r="K638" i="90"/>
  <c r="K639" i="90"/>
  <c r="K640" i="90"/>
  <c r="K641" i="90"/>
  <c r="K642" i="90"/>
  <c r="K643" i="90"/>
  <c r="K644" i="90"/>
  <c r="K645" i="90"/>
  <c r="K646" i="90"/>
  <c r="K647" i="90"/>
  <c r="K648" i="90"/>
  <c r="K649" i="90"/>
  <c r="K650" i="90"/>
  <c r="K651" i="90"/>
  <c r="K652" i="90"/>
  <c r="K653" i="90"/>
  <c r="K654" i="90"/>
  <c r="K655" i="90"/>
  <c r="K656" i="90"/>
  <c r="K657" i="90"/>
  <c r="K658" i="90"/>
  <c r="K659" i="90"/>
  <c r="K660" i="90"/>
  <c r="K661" i="90"/>
  <c r="K662" i="90"/>
  <c r="K663" i="90"/>
  <c r="K664" i="90"/>
  <c r="K665" i="90"/>
  <c r="K666" i="90"/>
  <c r="K667" i="90"/>
  <c r="K668" i="90"/>
  <c r="K669" i="90"/>
  <c r="K670" i="90"/>
  <c r="K671" i="90"/>
  <c r="K672" i="90"/>
  <c r="K673" i="90"/>
  <c r="K674" i="90"/>
  <c r="K675" i="90"/>
  <c r="K676" i="90"/>
  <c r="K677" i="90"/>
  <c r="K678" i="90"/>
  <c r="K679" i="90"/>
  <c r="K680" i="90"/>
  <c r="K681" i="90"/>
  <c r="K682" i="90"/>
  <c r="K683" i="90"/>
  <c r="K684" i="90"/>
  <c r="K685" i="90"/>
  <c r="K686" i="90"/>
  <c r="K687" i="90"/>
  <c r="K688" i="90"/>
  <c r="K689" i="90"/>
  <c r="K690" i="90"/>
  <c r="K691" i="90"/>
  <c r="K692" i="90"/>
  <c r="K693" i="90"/>
  <c r="K694" i="90"/>
  <c r="K695" i="90"/>
  <c r="K696" i="90"/>
  <c r="K697" i="90"/>
  <c r="K698" i="90"/>
  <c r="K699" i="90"/>
  <c r="K700" i="90"/>
  <c r="K701" i="90"/>
  <c r="K702" i="90"/>
  <c r="K703" i="90"/>
  <c r="K704" i="90"/>
  <c r="K705" i="90"/>
  <c r="K706" i="90"/>
  <c r="K707" i="90"/>
  <c r="K708" i="90"/>
  <c r="B20" i="90"/>
  <c r="C20" i="90" s="1"/>
  <c r="L20" i="90" s="1"/>
  <c r="B21" i="90"/>
  <c r="C21" i="90"/>
  <c r="L21" i="90" s="1"/>
  <c r="B22" i="90"/>
  <c r="C22" i="90" s="1"/>
  <c r="L22" i="90" s="1"/>
  <c r="B23" i="90"/>
  <c r="C23" i="90" s="1"/>
  <c r="L23" i="90" s="1"/>
  <c r="B24" i="90"/>
  <c r="C24" i="90" s="1"/>
  <c r="L24" i="90" s="1"/>
  <c r="B25" i="90"/>
  <c r="C25" i="90" s="1"/>
  <c r="L25" i="90" s="1"/>
  <c r="B26" i="90"/>
  <c r="C26" i="90"/>
  <c r="L26" i="90"/>
  <c r="B27" i="90"/>
  <c r="C27" i="90" s="1"/>
  <c r="L27" i="90" s="1"/>
  <c r="B28" i="90"/>
  <c r="C28" i="90"/>
  <c r="L28" i="90"/>
  <c r="B29" i="90"/>
  <c r="C29" i="90"/>
  <c r="L29" i="90" s="1"/>
  <c r="B30" i="90"/>
  <c r="C30" i="90"/>
  <c r="L30" i="90" s="1"/>
  <c r="B31" i="90"/>
  <c r="C31" i="90" s="1"/>
  <c r="L31" i="90" s="1"/>
  <c r="B32" i="90"/>
  <c r="C32" i="90" s="1"/>
  <c r="L32" i="90" s="1"/>
  <c r="B33" i="90"/>
  <c r="C33" i="90" s="1"/>
  <c r="L33" i="90"/>
  <c r="B34" i="90"/>
  <c r="C34" i="90" s="1"/>
  <c r="L34" i="90"/>
  <c r="B35" i="90"/>
  <c r="C35" i="90" s="1"/>
  <c r="L35" i="90" s="1"/>
  <c r="B36" i="90"/>
  <c r="C36" i="90" s="1"/>
  <c r="L36" i="90" s="1"/>
  <c r="B37" i="90"/>
  <c r="C37" i="90"/>
  <c r="L37" i="90" s="1"/>
  <c r="B38" i="90"/>
  <c r="C38" i="90" s="1"/>
  <c r="L38" i="90" s="1"/>
  <c r="B39" i="90"/>
  <c r="C39" i="90" s="1"/>
  <c r="L39" i="90" s="1"/>
  <c r="B40" i="90"/>
  <c r="C40" i="90" s="1"/>
  <c r="L40" i="90" s="1"/>
  <c r="B41" i="90"/>
  <c r="C41" i="90" s="1"/>
  <c r="L41" i="90" s="1"/>
  <c r="B42" i="90"/>
  <c r="C42" i="90"/>
  <c r="L42" i="90"/>
  <c r="B43" i="90"/>
  <c r="C43" i="90" s="1"/>
  <c r="L43" i="90" s="1"/>
  <c r="B44" i="90"/>
  <c r="C44" i="90"/>
  <c r="L44" i="90"/>
  <c r="B45" i="90"/>
  <c r="C45" i="90"/>
  <c r="L45" i="90" s="1"/>
  <c r="B46" i="90"/>
  <c r="C46" i="90"/>
  <c r="L46" i="90" s="1"/>
  <c r="B47" i="90"/>
  <c r="C47" i="90" s="1"/>
  <c r="L47" i="90" s="1"/>
  <c r="B48" i="90"/>
  <c r="C48" i="90" s="1"/>
  <c r="L48" i="90" s="1"/>
  <c r="B49" i="90"/>
  <c r="C49" i="90" s="1"/>
  <c r="L49" i="90"/>
  <c r="B50" i="90"/>
  <c r="C50" i="90" s="1"/>
  <c r="L50" i="90"/>
  <c r="B51" i="90"/>
  <c r="C51" i="90" s="1"/>
  <c r="L51" i="90" s="1"/>
  <c r="B52" i="90"/>
  <c r="C52" i="90" s="1"/>
  <c r="L52" i="90" s="1"/>
  <c r="B53" i="90"/>
  <c r="C53" i="90"/>
  <c r="L53" i="90" s="1"/>
  <c r="B54" i="90"/>
  <c r="C54" i="90" s="1"/>
  <c r="L54" i="90" s="1"/>
  <c r="B55" i="90"/>
  <c r="C55" i="90"/>
  <c r="L55" i="90" s="1"/>
  <c r="B56" i="90"/>
  <c r="C56" i="90" s="1"/>
  <c r="L56" i="90" s="1"/>
  <c r="B57" i="90"/>
  <c r="C57" i="90" s="1"/>
  <c r="L57" i="90" s="1"/>
  <c r="B58" i="90"/>
  <c r="C58" i="90"/>
  <c r="L58" i="90"/>
  <c r="B59" i="90"/>
  <c r="C59" i="90" s="1"/>
  <c r="L59" i="90" s="1"/>
  <c r="B60" i="90"/>
  <c r="C60" i="90"/>
  <c r="L60" i="90"/>
  <c r="B61" i="90"/>
  <c r="C61" i="90"/>
  <c r="L61" i="90" s="1"/>
  <c r="B62" i="90"/>
  <c r="C62" i="90"/>
  <c r="L62" i="90" s="1"/>
  <c r="B63" i="90"/>
  <c r="C63" i="90" s="1"/>
  <c r="L63" i="90" s="1"/>
  <c r="B64" i="90"/>
  <c r="C64" i="90"/>
  <c r="L64" i="90" s="1"/>
  <c r="B65" i="90"/>
  <c r="C65" i="90" s="1"/>
  <c r="L65" i="90" s="1"/>
  <c r="B66" i="90"/>
  <c r="C66" i="90" s="1"/>
  <c r="L66" i="90"/>
  <c r="B67" i="90"/>
  <c r="C67" i="90" s="1"/>
  <c r="L67" i="90" s="1"/>
  <c r="B68" i="90"/>
  <c r="C68" i="90" s="1"/>
  <c r="L68" i="90" s="1"/>
  <c r="B69" i="90"/>
  <c r="C69" i="90"/>
  <c r="L69" i="90"/>
  <c r="B70" i="90"/>
  <c r="C70" i="90" s="1"/>
  <c r="L70" i="90" s="1"/>
  <c r="B71" i="90"/>
  <c r="C71" i="90" s="1"/>
  <c r="L71" i="90" s="1"/>
  <c r="B72" i="90"/>
  <c r="C72" i="90" s="1"/>
  <c r="L72" i="90" s="1"/>
  <c r="B73" i="90"/>
  <c r="C73" i="90" s="1"/>
  <c r="L73" i="90" s="1"/>
  <c r="B74" i="90"/>
  <c r="C74" i="90"/>
  <c r="L74" i="90"/>
  <c r="B75" i="90"/>
  <c r="C75" i="90" s="1"/>
  <c r="L75" i="90" s="1"/>
  <c r="B76" i="90"/>
  <c r="C76" i="90"/>
  <c r="L76" i="90"/>
  <c r="B77" i="90"/>
  <c r="C77" i="90"/>
  <c r="L77" i="90" s="1"/>
  <c r="B78" i="90"/>
  <c r="C78" i="90"/>
  <c r="L78" i="90" s="1"/>
  <c r="B79" i="90"/>
  <c r="C79" i="90" s="1"/>
  <c r="L79" i="90" s="1"/>
  <c r="B80" i="90"/>
  <c r="C80" i="90" s="1"/>
  <c r="L80" i="90" s="1"/>
  <c r="B81" i="90"/>
  <c r="C81" i="90" s="1"/>
  <c r="L81" i="90" s="1"/>
  <c r="B82" i="90"/>
  <c r="C82" i="90" s="1"/>
  <c r="L82" i="90"/>
  <c r="B83" i="90"/>
  <c r="C83" i="90" s="1"/>
  <c r="L83" i="90" s="1"/>
  <c r="B84" i="90"/>
  <c r="C84" i="90" s="1"/>
  <c r="L84" i="90" s="1"/>
  <c r="B85" i="90"/>
  <c r="C85" i="90"/>
  <c r="L85" i="90"/>
  <c r="B86" i="90"/>
  <c r="C86" i="90" s="1"/>
  <c r="L86" i="90" s="1"/>
  <c r="B87" i="90"/>
  <c r="C87" i="90" s="1"/>
  <c r="L87" i="90" s="1"/>
  <c r="B88" i="90"/>
  <c r="C88" i="90" s="1"/>
  <c r="L88" i="90" s="1"/>
  <c r="B89" i="90"/>
  <c r="C89" i="90" s="1"/>
  <c r="L89" i="90" s="1"/>
  <c r="B90" i="90"/>
  <c r="C90" i="90"/>
  <c r="L90" i="90"/>
  <c r="B91" i="90"/>
  <c r="C91" i="90" s="1"/>
  <c r="L91" i="90" s="1"/>
  <c r="B92" i="90"/>
  <c r="C92" i="90"/>
  <c r="L92" i="90"/>
  <c r="B93" i="90"/>
  <c r="C93" i="90"/>
  <c r="L93" i="90" s="1"/>
  <c r="B94" i="90"/>
  <c r="C94" i="90"/>
  <c r="L94" i="90" s="1"/>
  <c r="B95" i="90"/>
  <c r="C95" i="90" s="1"/>
  <c r="L95" i="90" s="1"/>
  <c r="B96" i="90"/>
  <c r="C96" i="90" s="1"/>
  <c r="L96" i="90" s="1"/>
  <c r="B97" i="90"/>
  <c r="C97" i="90" s="1"/>
  <c r="L97" i="90"/>
  <c r="B98" i="90"/>
  <c r="C98" i="90" s="1"/>
  <c r="L98" i="90" s="1"/>
  <c r="B99" i="90"/>
  <c r="C99" i="90" s="1"/>
  <c r="L99" i="90" s="1"/>
  <c r="B100" i="90"/>
  <c r="C100" i="90" s="1"/>
  <c r="L100" i="90" s="1"/>
  <c r="B101" i="90"/>
  <c r="C101" i="90"/>
  <c r="L101" i="90"/>
  <c r="B102" i="90"/>
  <c r="C102" i="90" s="1"/>
  <c r="L102" i="90" s="1"/>
  <c r="B103" i="90"/>
  <c r="C103" i="90"/>
  <c r="L103" i="90" s="1"/>
  <c r="B104" i="90"/>
  <c r="C104" i="90" s="1"/>
  <c r="L104" i="90" s="1"/>
  <c r="B105" i="90"/>
  <c r="C105" i="90" s="1"/>
  <c r="L105" i="90" s="1"/>
  <c r="B106" i="90"/>
  <c r="C106" i="90"/>
  <c r="L106" i="90"/>
  <c r="B107" i="90"/>
  <c r="C107" i="90" s="1"/>
  <c r="L107" i="90" s="1"/>
  <c r="B108" i="90"/>
  <c r="C108" i="90"/>
  <c r="L108" i="90"/>
  <c r="B109" i="90"/>
  <c r="C109" i="90"/>
  <c r="L109" i="90" s="1"/>
  <c r="B110" i="90"/>
  <c r="C110" i="90"/>
  <c r="L110" i="90" s="1"/>
  <c r="B111" i="90"/>
  <c r="C111" i="90" s="1"/>
  <c r="L111" i="90" s="1"/>
  <c r="B112" i="90"/>
  <c r="C112" i="90"/>
  <c r="L112" i="90" s="1"/>
  <c r="B113" i="90"/>
  <c r="C113" i="90" s="1"/>
  <c r="L113" i="90" s="1"/>
  <c r="B114" i="90"/>
  <c r="C114" i="90" s="1"/>
  <c r="L114" i="90" s="1"/>
  <c r="B115" i="90"/>
  <c r="C115" i="90" s="1"/>
  <c r="L115" i="90" s="1"/>
  <c r="B116" i="90"/>
  <c r="C116" i="90" s="1"/>
  <c r="L116" i="90" s="1"/>
  <c r="B117" i="90"/>
  <c r="C117" i="90" s="1"/>
  <c r="L117" i="90" s="1"/>
  <c r="B118" i="90"/>
  <c r="C118" i="90" s="1"/>
  <c r="L118" i="90" s="1"/>
  <c r="B119" i="90"/>
  <c r="C119" i="90"/>
  <c r="L119" i="90" s="1"/>
  <c r="B120" i="90"/>
  <c r="C120" i="90" s="1"/>
  <c r="L120" i="90" s="1"/>
  <c r="B121" i="90"/>
  <c r="C121" i="90" s="1"/>
  <c r="L121" i="90" s="1"/>
  <c r="B122" i="90"/>
  <c r="C122" i="90"/>
  <c r="L122" i="90"/>
  <c r="B123" i="90"/>
  <c r="C123" i="90" s="1"/>
  <c r="L123" i="90" s="1"/>
  <c r="B124" i="90"/>
  <c r="C124" i="90"/>
  <c r="L124" i="90"/>
  <c r="B125" i="90"/>
  <c r="C125" i="90" s="1"/>
  <c r="L125" i="90" s="1"/>
  <c r="B126" i="90"/>
  <c r="C126" i="90"/>
  <c r="L126" i="90" s="1"/>
  <c r="B127" i="90"/>
  <c r="C127" i="90" s="1"/>
  <c r="L127" i="90"/>
  <c r="B128" i="90"/>
  <c r="C128" i="90"/>
  <c r="L128" i="90" s="1"/>
  <c r="B129" i="90"/>
  <c r="C129" i="90" s="1"/>
  <c r="L129" i="90"/>
  <c r="B130" i="90"/>
  <c r="C130" i="90"/>
  <c r="L130" i="90" s="1"/>
  <c r="B131" i="90"/>
  <c r="C131" i="90" s="1"/>
  <c r="L131" i="90" s="1"/>
  <c r="B132" i="90"/>
  <c r="C132" i="90" s="1"/>
  <c r="L132" i="90" s="1"/>
  <c r="B133" i="90"/>
  <c r="C133" i="90"/>
  <c r="L133" i="90" s="1"/>
  <c r="B134" i="90"/>
  <c r="C134" i="90" s="1"/>
  <c r="L134" i="90" s="1"/>
  <c r="B135" i="90"/>
  <c r="C135" i="90" s="1"/>
  <c r="L135" i="90" s="1"/>
  <c r="B136" i="90"/>
  <c r="C136" i="90" s="1"/>
  <c r="L136" i="90" s="1"/>
  <c r="B137" i="90"/>
  <c r="C137" i="90" s="1"/>
  <c r="L137" i="90" s="1"/>
  <c r="B138" i="90"/>
  <c r="C138" i="90"/>
  <c r="L138" i="90"/>
  <c r="B139" i="90"/>
  <c r="C139" i="90" s="1"/>
  <c r="L139" i="90" s="1"/>
  <c r="B140" i="90"/>
  <c r="C140" i="90"/>
  <c r="L140" i="90" s="1"/>
  <c r="B141" i="90"/>
  <c r="C141" i="90"/>
  <c r="L141" i="90" s="1"/>
  <c r="B142" i="90"/>
  <c r="C142" i="90"/>
  <c r="L142" i="90" s="1"/>
  <c r="B143" i="90"/>
  <c r="C143" i="90" s="1"/>
  <c r="L143" i="90" s="1"/>
  <c r="B144" i="90"/>
  <c r="C144" i="90"/>
  <c r="L144" i="90" s="1"/>
  <c r="B145" i="90"/>
  <c r="C145" i="90" s="1"/>
  <c r="L145" i="90" s="1"/>
  <c r="B146" i="90"/>
  <c r="C146" i="90"/>
  <c r="L146" i="90"/>
  <c r="B147" i="90"/>
  <c r="C147" i="90" s="1"/>
  <c r="L147" i="90" s="1"/>
  <c r="B148" i="90"/>
  <c r="C148" i="90" s="1"/>
  <c r="L148" i="90" s="1"/>
  <c r="B149" i="90"/>
  <c r="C149" i="90"/>
  <c r="L149" i="90"/>
  <c r="B150" i="90"/>
  <c r="C150" i="90" s="1"/>
  <c r="L150" i="90" s="1"/>
  <c r="B151" i="90"/>
  <c r="C151" i="90"/>
  <c r="L151" i="90" s="1"/>
  <c r="B152" i="90"/>
  <c r="C152" i="90" s="1"/>
  <c r="L152" i="90" s="1"/>
  <c r="B153" i="90"/>
  <c r="C153" i="90" s="1"/>
  <c r="L153" i="90" s="1"/>
  <c r="B154" i="90"/>
  <c r="C154" i="90"/>
  <c r="L154" i="90"/>
  <c r="B155" i="90"/>
  <c r="C155" i="90" s="1"/>
  <c r="L155" i="90" s="1"/>
  <c r="B156" i="90"/>
  <c r="C156" i="90"/>
  <c r="L156" i="90"/>
  <c r="B157" i="90"/>
  <c r="C157" i="90"/>
  <c r="L157" i="90" s="1"/>
  <c r="B158" i="90"/>
  <c r="C158" i="90"/>
  <c r="L158" i="90" s="1"/>
  <c r="B159" i="90"/>
  <c r="C159" i="90" s="1"/>
  <c r="L159" i="90"/>
  <c r="B160" i="90"/>
  <c r="C160" i="90"/>
  <c r="L160" i="90" s="1"/>
  <c r="B161" i="90"/>
  <c r="C161" i="90" s="1"/>
  <c r="L161" i="90"/>
  <c r="B162" i="90"/>
  <c r="C162" i="90"/>
  <c r="L162" i="90"/>
  <c r="B163" i="90"/>
  <c r="C163" i="90" s="1"/>
  <c r="L163" i="90" s="1"/>
  <c r="B164" i="90"/>
  <c r="C164" i="90" s="1"/>
  <c r="L164" i="90" s="1"/>
  <c r="B165" i="90"/>
  <c r="C165" i="90" s="1"/>
  <c r="L165" i="90" s="1"/>
  <c r="B166" i="90"/>
  <c r="C166" i="90" s="1"/>
  <c r="L166" i="90" s="1"/>
  <c r="B167" i="90"/>
  <c r="C167" i="90" s="1"/>
  <c r="L167" i="90" s="1"/>
  <c r="B168" i="90"/>
  <c r="C168" i="90" s="1"/>
  <c r="L168" i="90" s="1"/>
  <c r="B169" i="90"/>
  <c r="C169" i="90" s="1"/>
  <c r="L169" i="90" s="1"/>
  <c r="B170" i="90"/>
  <c r="C170" i="90"/>
  <c r="L170" i="90" s="1"/>
  <c r="B171" i="90"/>
  <c r="C171" i="90" s="1"/>
  <c r="L171" i="90" s="1"/>
  <c r="B172" i="90"/>
  <c r="C172" i="90"/>
  <c r="L172" i="90" s="1"/>
  <c r="B173" i="90"/>
  <c r="C173" i="90" s="1"/>
  <c r="L173" i="90" s="1"/>
  <c r="B174" i="90"/>
  <c r="C174" i="90"/>
  <c r="L174" i="90" s="1"/>
  <c r="B175" i="90"/>
  <c r="C175" i="90" s="1"/>
  <c r="L175" i="90" s="1"/>
  <c r="B176" i="90"/>
  <c r="C176" i="90" s="1"/>
  <c r="L176" i="90" s="1"/>
  <c r="B177" i="90"/>
  <c r="C177" i="90" s="1"/>
  <c r="L177" i="90"/>
  <c r="B178" i="90"/>
  <c r="C178" i="90" s="1"/>
  <c r="L178" i="90" s="1"/>
  <c r="B179" i="90"/>
  <c r="C179" i="90" s="1"/>
  <c r="L179" i="90" s="1"/>
  <c r="B180" i="90"/>
  <c r="C180" i="90" s="1"/>
  <c r="L180" i="90" s="1"/>
  <c r="B181" i="90"/>
  <c r="C181" i="90"/>
  <c r="L181" i="90" s="1"/>
  <c r="B182" i="90"/>
  <c r="C182" i="90" s="1"/>
  <c r="L182" i="90" s="1"/>
  <c r="B183" i="90"/>
  <c r="C183" i="90" s="1"/>
  <c r="L183" i="90" s="1"/>
  <c r="B184" i="90"/>
  <c r="C184" i="90" s="1"/>
  <c r="L184" i="90" s="1"/>
  <c r="B185" i="90"/>
  <c r="C185" i="90" s="1"/>
  <c r="L185" i="90" s="1"/>
  <c r="B186" i="90"/>
  <c r="C186" i="90"/>
  <c r="L186" i="90"/>
  <c r="B187" i="90"/>
  <c r="C187" i="90" s="1"/>
  <c r="L187" i="90" s="1"/>
  <c r="B188" i="90"/>
  <c r="C188" i="90"/>
  <c r="L188" i="90"/>
  <c r="B189" i="90"/>
  <c r="C189" i="90"/>
  <c r="L189" i="90" s="1"/>
  <c r="B190" i="90"/>
  <c r="C190" i="90"/>
  <c r="L190" i="90" s="1"/>
  <c r="B191" i="90"/>
  <c r="C191" i="90" s="1"/>
  <c r="L191" i="90"/>
  <c r="B192" i="90"/>
  <c r="C192" i="90"/>
  <c r="L192" i="90" s="1"/>
  <c r="B193" i="90"/>
  <c r="C193" i="90" s="1"/>
  <c r="L193" i="90"/>
  <c r="B194" i="90"/>
  <c r="C194" i="90"/>
  <c r="L194" i="90" s="1"/>
  <c r="B195" i="90"/>
  <c r="C195" i="90" s="1"/>
  <c r="L195" i="90"/>
  <c r="B196" i="90"/>
  <c r="C196" i="90"/>
  <c r="L196" i="90"/>
  <c r="B197" i="90"/>
  <c r="C197" i="90"/>
  <c r="L197" i="90"/>
  <c r="B198" i="90"/>
  <c r="C198" i="90" s="1"/>
  <c r="L198" i="90" s="1"/>
  <c r="B199" i="90"/>
  <c r="C199" i="90"/>
  <c r="L199" i="90" s="1"/>
  <c r="B200" i="90"/>
  <c r="C200" i="90" s="1"/>
  <c r="L200" i="90" s="1"/>
  <c r="B201" i="90"/>
  <c r="C201" i="90" s="1"/>
  <c r="L201" i="90" s="1"/>
  <c r="B202" i="90"/>
  <c r="C202" i="90"/>
  <c r="L202" i="90"/>
  <c r="B203" i="90"/>
  <c r="C203" i="90" s="1"/>
  <c r="L203" i="90" s="1"/>
  <c r="B204" i="90"/>
  <c r="C204" i="90"/>
  <c r="L204" i="90"/>
  <c r="B205" i="90"/>
  <c r="C205" i="90"/>
  <c r="L205" i="90" s="1"/>
  <c r="B206" i="90"/>
  <c r="C206" i="90"/>
  <c r="L206" i="90" s="1"/>
  <c r="B207" i="90"/>
  <c r="C207" i="90"/>
  <c r="L207" i="90"/>
  <c r="B208" i="90"/>
  <c r="C208" i="90"/>
  <c r="L208" i="90" s="1"/>
  <c r="B209" i="90"/>
  <c r="C209" i="90" s="1"/>
  <c r="L209" i="90" s="1"/>
  <c r="B210" i="90"/>
  <c r="C210" i="90"/>
  <c r="L210" i="90"/>
  <c r="B211" i="90"/>
  <c r="C211" i="90" s="1"/>
  <c r="L211" i="90"/>
  <c r="B212" i="90"/>
  <c r="C212" i="90"/>
  <c r="L212" i="90"/>
  <c r="B213" i="90"/>
  <c r="C213" i="90" s="1"/>
  <c r="L213" i="90" s="1"/>
  <c r="B214" i="90"/>
  <c r="C214" i="90" s="1"/>
  <c r="L214" i="90" s="1"/>
  <c r="B215" i="90"/>
  <c r="C215" i="90"/>
  <c r="L215" i="90"/>
  <c r="B216" i="90"/>
  <c r="C216" i="90" s="1"/>
  <c r="L216" i="90" s="1"/>
  <c r="B217" i="90"/>
  <c r="C217" i="90" s="1"/>
  <c r="L217" i="90" s="1"/>
  <c r="B218" i="90"/>
  <c r="C218" i="90"/>
  <c r="L218" i="90" s="1"/>
  <c r="B219" i="90"/>
  <c r="C219" i="90" s="1"/>
  <c r="L219" i="90" s="1"/>
  <c r="B220" i="90"/>
  <c r="C220" i="90"/>
  <c r="L220" i="90"/>
  <c r="B221" i="90"/>
  <c r="C221" i="90" s="1"/>
  <c r="L221" i="90" s="1"/>
  <c r="B222" i="90"/>
  <c r="C222" i="90"/>
  <c r="L222" i="90" s="1"/>
  <c r="B223" i="90"/>
  <c r="C223" i="90"/>
  <c r="L223" i="90"/>
  <c r="B224" i="90"/>
  <c r="C224" i="90"/>
  <c r="L224" i="90" s="1"/>
  <c r="B225" i="90"/>
  <c r="C225" i="90" s="1"/>
  <c r="L225" i="90"/>
  <c r="B226" i="90"/>
  <c r="C226" i="90"/>
  <c r="L226" i="90" s="1"/>
  <c r="B227" i="90"/>
  <c r="C227" i="90" s="1"/>
  <c r="L227" i="90"/>
  <c r="B228" i="90"/>
  <c r="C228" i="90" s="1"/>
  <c r="L228" i="90" s="1"/>
  <c r="B229" i="90"/>
  <c r="C229" i="90"/>
  <c r="L229" i="90" s="1"/>
  <c r="B230" i="90"/>
  <c r="C230" i="90" s="1"/>
  <c r="L230" i="90" s="1"/>
  <c r="B231" i="90"/>
  <c r="C231" i="90"/>
  <c r="L231" i="90" s="1"/>
  <c r="B232" i="90"/>
  <c r="C232" i="90" s="1"/>
  <c r="L232" i="90" s="1"/>
  <c r="B233" i="90"/>
  <c r="C233" i="90" s="1"/>
  <c r="L233" i="90" s="1"/>
  <c r="B234" i="90"/>
  <c r="C234" i="90"/>
  <c r="L234" i="90"/>
  <c r="B235" i="90"/>
  <c r="C235" i="90"/>
  <c r="L235" i="90" s="1"/>
  <c r="B236" i="90"/>
  <c r="C236" i="90"/>
  <c r="L236" i="90" s="1"/>
  <c r="B237" i="90"/>
  <c r="C237" i="90" s="1"/>
  <c r="L237" i="90" s="1"/>
  <c r="B238" i="90"/>
  <c r="C238" i="90"/>
  <c r="L238" i="90" s="1"/>
  <c r="B239" i="90"/>
  <c r="C239" i="90"/>
  <c r="L239" i="90"/>
  <c r="B240" i="90"/>
  <c r="C240" i="90" s="1"/>
  <c r="L240" i="90" s="1"/>
  <c r="B241" i="90"/>
  <c r="C241" i="90" s="1"/>
  <c r="L241" i="90"/>
  <c r="B242" i="90"/>
  <c r="C242" i="90" s="1"/>
  <c r="L242" i="90" s="1"/>
  <c r="B243" i="90"/>
  <c r="C243" i="90" s="1"/>
  <c r="L243" i="90" s="1"/>
  <c r="B244" i="90"/>
  <c r="C244" i="90"/>
  <c r="L244" i="90"/>
  <c r="B245" i="90"/>
  <c r="C245" i="90"/>
  <c r="L245" i="90"/>
  <c r="B246" i="90"/>
  <c r="C246" i="90" s="1"/>
  <c r="L246" i="90" s="1"/>
  <c r="B247" i="90"/>
  <c r="C247" i="90" s="1"/>
  <c r="L247" i="90" s="1"/>
  <c r="B248" i="90"/>
  <c r="C248" i="90" s="1"/>
  <c r="L248" i="90" s="1"/>
  <c r="B249" i="90"/>
  <c r="C249" i="90" s="1"/>
  <c r="L249" i="90" s="1"/>
  <c r="B250" i="90"/>
  <c r="C250" i="90" s="1"/>
  <c r="L250" i="90" s="1"/>
  <c r="B251" i="90"/>
  <c r="C251" i="90"/>
  <c r="L251" i="90" s="1"/>
  <c r="B252" i="90"/>
  <c r="C252" i="90"/>
  <c r="L252" i="90"/>
  <c r="B253" i="90"/>
  <c r="C253" i="90"/>
  <c r="L253" i="90" s="1"/>
  <c r="B254" i="90"/>
  <c r="C254" i="90"/>
  <c r="L254" i="90" s="1"/>
  <c r="B255" i="90"/>
  <c r="C255" i="90" s="1"/>
  <c r="L255" i="90" s="1"/>
  <c r="B256" i="90"/>
  <c r="C256" i="90"/>
  <c r="L256" i="90"/>
  <c r="B257" i="90"/>
  <c r="C257" i="90" s="1"/>
  <c r="L257" i="90" s="1"/>
  <c r="B258" i="90"/>
  <c r="C258" i="90"/>
  <c r="L258" i="90"/>
  <c r="B259" i="90"/>
  <c r="C259" i="90" s="1"/>
  <c r="L259" i="90"/>
  <c r="B260" i="90"/>
  <c r="C260" i="90"/>
  <c r="L260" i="90"/>
  <c r="B261" i="90"/>
  <c r="C261" i="90" s="1"/>
  <c r="L261" i="90" s="1"/>
  <c r="B262" i="90"/>
  <c r="C262" i="90"/>
  <c r="L262" i="90" s="1"/>
  <c r="B263" i="90"/>
  <c r="C263" i="90"/>
  <c r="L263" i="90" s="1"/>
  <c r="B264" i="90"/>
  <c r="C264" i="90"/>
  <c r="L264" i="90" s="1"/>
  <c r="B265" i="90"/>
  <c r="C265" i="90" s="1"/>
  <c r="L265" i="90" s="1"/>
  <c r="B266" i="90"/>
  <c r="C266" i="90"/>
  <c r="L266" i="90"/>
  <c r="B267" i="90"/>
  <c r="C267" i="90" s="1"/>
  <c r="L267" i="90" s="1"/>
  <c r="B268" i="90"/>
  <c r="C268" i="90"/>
  <c r="L268" i="90"/>
  <c r="B269" i="90"/>
  <c r="C269" i="90" s="1"/>
  <c r="L269" i="90" s="1"/>
  <c r="B270" i="90"/>
  <c r="C270" i="90"/>
  <c r="L270" i="90" s="1"/>
  <c r="B271" i="90"/>
  <c r="C271" i="90" s="1"/>
  <c r="L271" i="90" s="1"/>
  <c r="B272" i="90"/>
  <c r="C272" i="90" s="1"/>
  <c r="L272" i="90" s="1"/>
  <c r="B273" i="90"/>
  <c r="C273" i="90" s="1"/>
  <c r="L273" i="90" s="1"/>
  <c r="B274" i="90"/>
  <c r="C274" i="90"/>
  <c r="L274" i="90" s="1"/>
  <c r="B275" i="90"/>
  <c r="C275" i="90"/>
  <c r="L275" i="90"/>
  <c r="B276" i="90"/>
  <c r="C276" i="90"/>
  <c r="L276" i="90" s="1"/>
  <c r="B277" i="90"/>
  <c r="C277" i="90"/>
  <c r="L277" i="90" s="1"/>
  <c r="B278" i="90"/>
  <c r="C278" i="90"/>
  <c r="L278" i="90" s="1"/>
  <c r="B279" i="90"/>
  <c r="C279" i="90"/>
  <c r="L279" i="90"/>
  <c r="B280" i="90"/>
  <c r="C280" i="90"/>
  <c r="L280" i="90"/>
  <c r="B281" i="90"/>
  <c r="C281" i="90" s="1"/>
  <c r="L281" i="90" s="1"/>
  <c r="B282" i="90"/>
  <c r="C282" i="90"/>
  <c r="L282" i="90"/>
  <c r="B283" i="90"/>
  <c r="C283" i="90" s="1"/>
  <c r="L283" i="90" s="1"/>
  <c r="B284" i="90"/>
  <c r="C284" i="90"/>
  <c r="L284" i="90"/>
  <c r="B285" i="90"/>
  <c r="C285" i="90" s="1"/>
  <c r="L285" i="90" s="1"/>
  <c r="B286" i="90"/>
  <c r="C286" i="90"/>
  <c r="L286" i="90" s="1"/>
  <c r="B287" i="90"/>
  <c r="C287" i="90" s="1"/>
  <c r="L287" i="90" s="1"/>
  <c r="B288" i="90"/>
  <c r="C288" i="90"/>
  <c r="L288" i="90" s="1"/>
  <c r="B289" i="90"/>
  <c r="C289" i="90" s="1"/>
  <c r="L289" i="90" s="1"/>
  <c r="B290" i="90"/>
  <c r="C290" i="90"/>
  <c r="L290" i="90" s="1"/>
  <c r="B291" i="90"/>
  <c r="C291" i="90"/>
  <c r="L291" i="90"/>
  <c r="B292" i="90"/>
  <c r="C292" i="90"/>
  <c r="L292" i="90" s="1"/>
  <c r="B293" i="90"/>
  <c r="C293" i="90"/>
  <c r="L293" i="90"/>
  <c r="B294" i="90"/>
  <c r="C294" i="90"/>
  <c r="L294" i="90" s="1"/>
  <c r="B295" i="90"/>
  <c r="C295" i="90"/>
  <c r="L295" i="90"/>
  <c r="B296" i="90"/>
  <c r="C296" i="90"/>
  <c r="L296" i="90"/>
  <c r="B297" i="90"/>
  <c r="C297" i="90" s="1"/>
  <c r="L297" i="90" s="1"/>
  <c r="B298" i="90"/>
  <c r="C298" i="90"/>
  <c r="L298" i="90"/>
  <c r="B299" i="90"/>
  <c r="C299" i="90" s="1"/>
  <c r="L299" i="90" s="1"/>
  <c r="B300" i="90"/>
  <c r="C300" i="90"/>
  <c r="L300" i="90"/>
  <c r="B301" i="90"/>
  <c r="C301" i="90" s="1"/>
  <c r="L301" i="90" s="1"/>
  <c r="B302" i="90"/>
  <c r="C302" i="90"/>
  <c r="L302" i="90" s="1"/>
  <c r="B303" i="90"/>
  <c r="C303" i="90" s="1"/>
  <c r="L303" i="90" s="1"/>
  <c r="B304" i="90"/>
  <c r="C304" i="90"/>
  <c r="L304" i="90" s="1"/>
  <c r="B305" i="90"/>
  <c r="C305" i="90" s="1"/>
  <c r="L305" i="90" s="1"/>
  <c r="B306" i="90"/>
  <c r="C306" i="90"/>
  <c r="L306" i="90" s="1"/>
  <c r="B307" i="90"/>
  <c r="C307" i="90"/>
  <c r="L307" i="90"/>
  <c r="B308" i="90"/>
  <c r="C308" i="90"/>
  <c r="L308" i="90" s="1"/>
  <c r="B309" i="90"/>
  <c r="C309" i="90"/>
  <c r="L309" i="90" s="1"/>
  <c r="B310" i="90"/>
  <c r="C310" i="90"/>
  <c r="L310" i="90" s="1"/>
  <c r="B311" i="90"/>
  <c r="C311" i="90"/>
  <c r="L311" i="90"/>
  <c r="B312" i="90"/>
  <c r="C312" i="90"/>
  <c r="L312" i="90"/>
  <c r="B313" i="90"/>
  <c r="C313" i="90" s="1"/>
  <c r="L313" i="90" s="1"/>
  <c r="B314" i="90"/>
  <c r="C314" i="90"/>
  <c r="L314" i="90"/>
  <c r="B315" i="90"/>
  <c r="C315" i="90" s="1"/>
  <c r="L315" i="90" s="1"/>
  <c r="B316" i="90"/>
  <c r="C316" i="90"/>
  <c r="L316" i="90"/>
  <c r="B317" i="90"/>
  <c r="C317" i="90" s="1"/>
  <c r="L317" i="90" s="1"/>
  <c r="B318" i="90"/>
  <c r="C318" i="90"/>
  <c r="L318" i="90" s="1"/>
  <c r="B319" i="90"/>
  <c r="C319" i="90" s="1"/>
  <c r="L319" i="90" s="1"/>
  <c r="B320" i="90"/>
  <c r="C320" i="90" s="1"/>
  <c r="L320" i="90" s="1"/>
  <c r="B321" i="90"/>
  <c r="C321" i="90" s="1"/>
  <c r="L321" i="90" s="1"/>
  <c r="B322" i="90"/>
  <c r="C322" i="90"/>
  <c r="L322" i="90" s="1"/>
  <c r="B323" i="90"/>
  <c r="C323" i="90"/>
  <c r="L323" i="90"/>
  <c r="B324" i="90"/>
  <c r="C324" i="90"/>
  <c r="L324" i="90" s="1"/>
  <c r="B325" i="90"/>
  <c r="C325" i="90"/>
  <c r="L325" i="90" s="1"/>
  <c r="B326" i="90"/>
  <c r="C326" i="90"/>
  <c r="L326" i="90" s="1"/>
  <c r="B327" i="90"/>
  <c r="C327" i="90"/>
  <c r="L327" i="90"/>
  <c r="B328" i="90"/>
  <c r="C328" i="90"/>
  <c r="L328" i="90"/>
  <c r="B329" i="90"/>
  <c r="C329" i="90" s="1"/>
  <c r="L329" i="90" s="1"/>
  <c r="B330" i="90"/>
  <c r="C330" i="90"/>
  <c r="L330" i="90"/>
  <c r="B331" i="90"/>
  <c r="C331" i="90" s="1"/>
  <c r="L331" i="90" s="1"/>
  <c r="B332" i="90"/>
  <c r="C332" i="90"/>
  <c r="L332" i="90"/>
  <c r="B333" i="90"/>
  <c r="C333" i="90" s="1"/>
  <c r="L333" i="90" s="1"/>
  <c r="B334" i="90"/>
  <c r="C334" i="90"/>
  <c r="L334" i="90" s="1"/>
  <c r="B335" i="90"/>
  <c r="C335" i="90" s="1"/>
  <c r="L335" i="90" s="1"/>
  <c r="B336" i="90"/>
  <c r="C336" i="90" s="1"/>
  <c r="L336" i="90" s="1"/>
  <c r="B337" i="90"/>
  <c r="C337" i="90" s="1"/>
  <c r="L337" i="90" s="1"/>
  <c r="B338" i="90"/>
  <c r="C338" i="90"/>
  <c r="L338" i="90" s="1"/>
  <c r="B339" i="90"/>
  <c r="C339" i="90"/>
  <c r="L339" i="90"/>
  <c r="B340" i="90"/>
  <c r="C340" i="90"/>
  <c r="L340" i="90" s="1"/>
  <c r="B341" i="90"/>
  <c r="C341" i="90"/>
  <c r="L341" i="90"/>
  <c r="B342" i="90"/>
  <c r="C342" i="90"/>
  <c r="L342" i="90" s="1"/>
  <c r="B343" i="90"/>
  <c r="C343" i="90"/>
  <c r="L343" i="90"/>
  <c r="B344" i="90"/>
  <c r="C344" i="90"/>
  <c r="L344" i="90"/>
  <c r="B345" i="90"/>
  <c r="C345" i="90" s="1"/>
  <c r="L345" i="90" s="1"/>
  <c r="B346" i="90"/>
  <c r="C346" i="90"/>
  <c r="L346" i="90"/>
  <c r="B347" i="90"/>
  <c r="C347" i="90" s="1"/>
  <c r="L347" i="90" s="1"/>
  <c r="B348" i="90"/>
  <c r="C348" i="90"/>
  <c r="L348" i="90"/>
  <c r="B349" i="90"/>
  <c r="C349" i="90" s="1"/>
  <c r="L349" i="90" s="1"/>
  <c r="B350" i="90"/>
  <c r="C350" i="90"/>
  <c r="L350" i="90" s="1"/>
  <c r="B351" i="90"/>
  <c r="C351" i="90" s="1"/>
  <c r="L351" i="90" s="1"/>
  <c r="B352" i="90"/>
  <c r="C352" i="90"/>
  <c r="L352" i="90" s="1"/>
  <c r="B353" i="90"/>
  <c r="C353" i="90" s="1"/>
  <c r="L353" i="90" s="1"/>
  <c r="B354" i="90"/>
  <c r="C354" i="90"/>
  <c r="L354" i="90" s="1"/>
  <c r="B355" i="90"/>
  <c r="C355" i="90"/>
  <c r="L355" i="90"/>
  <c r="B356" i="90"/>
  <c r="C356" i="90"/>
  <c r="L356" i="90" s="1"/>
  <c r="B357" i="90"/>
  <c r="C357" i="90"/>
  <c r="L357" i="90" s="1"/>
  <c r="B358" i="90"/>
  <c r="C358" i="90"/>
  <c r="L358" i="90" s="1"/>
  <c r="B359" i="90"/>
  <c r="C359" i="90"/>
  <c r="L359" i="90"/>
  <c r="B360" i="90"/>
  <c r="C360" i="90"/>
  <c r="L360" i="90"/>
  <c r="B361" i="90"/>
  <c r="C361" i="90" s="1"/>
  <c r="L361" i="90" s="1"/>
  <c r="B362" i="90"/>
  <c r="C362" i="90"/>
  <c r="L362" i="90"/>
  <c r="B363" i="90"/>
  <c r="C363" i="90" s="1"/>
  <c r="L363" i="90" s="1"/>
  <c r="B364" i="90"/>
  <c r="C364" i="90"/>
  <c r="L364" i="90"/>
  <c r="B365" i="90"/>
  <c r="C365" i="90" s="1"/>
  <c r="L365" i="90" s="1"/>
  <c r="B366" i="90"/>
  <c r="C366" i="90"/>
  <c r="L366" i="90" s="1"/>
  <c r="B367" i="90"/>
  <c r="C367" i="90" s="1"/>
  <c r="L367" i="90" s="1"/>
  <c r="B368" i="90"/>
  <c r="C368" i="90"/>
  <c r="L368" i="90" s="1"/>
  <c r="B369" i="90"/>
  <c r="C369" i="90" s="1"/>
  <c r="L369" i="90" s="1"/>
  <c r="B370" i="90"/>
  <c r="C370" i="90"/>
  <c r="L370" i="90" s="1"/>
  <c r="B371" i="90"/>
  <c r="C371" i="90"/>
  <c r="L371" i="90"/>
  <c r="B372" i="90"/>
  <c r="C372" i="90"/>
  <c r="L372" i="90" s="1"/>
  <c r="B373" i="90"/>
  <c r="C373" i="90"/>
  <c r="L373" i="90"/>
  <c r="B374" i="90"/>
  <c r="C374" i="90"/>
  <c r="L374" i="90" s="1"/>
  <c r="B375" i="90"/>
  <c r="C375" i="90"/>
  <c r="L375" i="90"/>
  <c r="B376" i="90"/>
  <c r="C376" i="90"/>
  <c r="L376" i="90"/>
  <c r="B377" i="90"/>
  <c r="C377" i="90" s="1"/>
  <c r="L377" i="90" s="1"/>
  <c r="B378" i="90"/>
  <c r="C378" i="90"/>
  <c r="L378" i="90"/>
  <c r="B379" i="90"/>
  <c r="C379" i="90" s="1"/>
  <c r="L379" i="90" s="1"/>
  <c r="B380" i="90"/>
  <c r="C380" i="90"/>
  <c r="L380" i="90"/>
  <c r="B381" i="90"/>
  <c r="C381" i="90" s="1"/>
  <c r="L381" i="90" s="1"/>
  <c r="B382" i="90"/>
  <c r="C382" i="90"/>
  <c r="L382" i="90" s="1"/>
  <c r="B383" i="90"/>
  <c r="C383" i="90" s="1"/>
  <c r="L383" i="90" s="1"/>
  <c r="B384" i="90"/>
  <c r="C384" i="90"/>
  <c r="L384" i="90" s="1"/>
  <c r="B385" i="90"/>
  <c r="C385" i="90" s="1"/>
  <c r="L385" i="90" s="1"/>
  <c r="B386" i="90"/>
  <c r="C386" i="90"/>
  <c r="L386" i="90" s="1"/>
  <c r="B387" i="90"/>
  <c r="C387" i="90"/>
  <c r="L387" i="90"/>
  <c r="B388" i="90"/>
  <c r="C388" i="90"/>
  <c r="L388" i="90" s="1"/>
  <c r="B389" i="90"/>
  <c r="C389" i="90"/>
  <c r="L389" i="90"/>
  <c r="B390" i="90"/>
  <c r="C390" i="90"/>
  <c r="L390" i="90" s="1"/>
  <c r="B391" i="90"/>
  <c r="C391" i="90"/>
  <c r="L391" i="90"/>
  <c r="B392" i="90"/>
  <c r="C392" i="90"/>
  <c r="L392" i="90"/>
  <c r="B393" i="90"/>
  <c r="C393" i="90" s="1"/>
  <c r="L393" i="90" s="1"/>
  <c r="B394" i="90"/>
  <c r="C394" i="90"/>
  <c r="L394" i="90"/>
  <c r="B395" i="90"/>
  <c r="C395" i="90" s="1"/>
  <c r="L395" i="90" s="1"/>
  <c r="B396" i="90"/>
  <c r="C396" i="90"/>
  <c r="L396" i="90"/>
  <c r="B397" i="90"/>
  <c r="C397" i="90" s="1"/>
  <c r="L397" i="90" s="1"/>
  <c r="B398" i="90"/>
  <c r="C398" i="90"/>
  <c r="L398" i="90" s="1"/>
  <c r="B399" i="90"/>
  <c r="C399" i="90" s="1"/>
  <c r="L399" i="90" s="1"/>
  <c r="B400" i="90"/>
  <c r="C400" i="90" s="1"/>
  <c r="L400" i="90" s="1"/>
  <c r="B401" i="90"/>
  <c r="C401" i="90" s="1"/>
  <c r="L401" i="90" s="1"/>
  <c r="B402" i="90"/>
  <c r="C402" i="90"/>
  <c r="L402" i="90" s="1"/>
  <c r="B403" i="90"/>
  <c r="C403" i="90"/>
  <c r="L403" i="90"/>
  <c r="B404" i="90"/>
  <c r="C404" i="90"/>
  <c r="L404" i="90" s="1"/>
  <c r="B405" i="90"/>
  <c r="C405" i="90"/>
  <c r="L405" i="90" s="1"/>
  <c r="B406" i="90"/>
  <c r="C406" i="90"/>
  <c r="L406" i="90" s="1"/>
  <c r="B407" i="90"/>
  <c r="C407" i="90"/>
  <c r="L407" i="90"/>
  <c r="B408" i="90"/>
  <c r="C408" i="90"/>
  <c r="L408" i="90"/>
  <c r="B409" i="90"/>
  <c r="C409" i="90" s="1"/>
  <c r="L409" i="90" s="1"/>
  <c r="B410" i="90"/>
  <c r="C410" i="90"/>
  <c r="L410" i="90"/>
  <c r="B411" i="90"/>
  <c r="C411" i="90" s="1"/>
  <c r="L411" i="90" s="1"/>
  <c r="B412" i="90"/>
  <c r="C412" i="90"/>
  <c r="L412" i="90"/>
  <c r="B413" i="90"/>
  <c r="C413" i="90" s="1"/>
  <c r="L413" i="90" s="1"/>
  <c r="B414" i="90"/>
  <c r="C414" i="90"/>
  <c r="L414" i="90" s="1"/>
  <c r="B415" i="90"/>
  <c r="C415" i="90" s="1"/>
  <c r="L415" i="90" s="1"/>
  <c r="B416" i="90"/>
  <c r="C416" i="90"/>
  <c r="L416" i="90" s="1"/>
  <c r="B417" i="90"/>
  <c r="C417" i="90" s="1"/>
  <c r="L417" i="90" s="1"/>
  <c r="B418" i="90"/>
  <c r="C418" i="90"/>
  <c r="L418" i="90" s="1"/>
  <c r="B419" i="90"/>
  <c r="C419" i="90"/>
  <c r="L419" i="90"/>
  <c r="B420" i="90"/>
  <c r="C420" i="90"/>
  <c r="L420" i="90" s="1"/>
  <c r="B421" i="90"/>
  <c r="C421" i="90"/>
  <c r="L421" i="90" s="1"/>
  <c r="B422" i="90"/>
  <c r="C422" i="90"/>
  <c r="L422" i="90" s="1"/>
  <c r="B423" i="90"/>
  <c r="C423" i="90"/>
  <c r="L423" i="90"/>
  <c r="B424" i="90"/>
  <c r="C424" i="90"/>
  <c r="L424" i="90"/>
  <c r="B425" i="90"/>
  <c r="C425" i="90" s="1"/>
  <c r="L425" i="90" s="1"/>
  <c r="B426" i="90"/>
  <c r="C426" i="90"/>
  <c r="L426" i="90"/>
  <c r="B427" i="90"/>
  <c r="C427" i="90" s="1"/>
  <c r="L427" i="90" s="1"/>
  <c r="B428" i="90"/>
  <c r="C428" i="90"/>
  <c r="L428" i="90"/>
  <c r="B429" i="90"/>
  <c r="C429" i="90" s="1"/>
  <c r="L429" i="90" s="1"/>
  <c r="B430" i="90"/>
  <c r="C430" i="90"/>
  <c r="L430" i="90" s="1"/>
  <c r="B431" i="90"/>
  <c r="C431" i="90" s="1"/>
  <c r="L431" i="90" s="1"/>
  <c r="B432" i="90"/>
  <c r="C432" i="90" s="1"/>
  <c r="L432" i="90" s="1"/>
  <c r="B433" i="90"/>
  <c r="C433" i="90" s="1"/>
  <c r="L433" i="90" s="1"/>
  <c r="B434" i="90"/>
  <c r="C434" i="90"/>
  <c r="L434" i="90" s="1"/>
  <c r="B435" i="90"/>
  <c r="C435" i="90"/>
  <c r="L435" i="90"/>
  <c r="B436" i="90"/>
  <c r="C436" i="90"/>
  <c r="L436" i="90" s="1"/>
  <c r="B437" i="90"/>
  <c r="C437" i="90"/>
  <c r="L437" i="90"/>
  <c r="B438" i="90"/>
  <c r="C438" i="90"/>
  <c r="L438" i="90" s="1"/>
  <c r="B439" i="90"/>
  <c r="C439" i="90"/>
  <c r="L439" i="90"/>
  <c r="B440" i="90"/>
  <c r="C440" i="90"/>
  <c r="L440" i="90"/>
  <c r="B441" i="90"/>
  <c r="C441" i="90" s="1"/>
  <c r="L441" i="90" s="1"/>
  <c r="B442" i="90"/>
  <c r="C442" i="90"/>
  <c r="L442" i="90"/>
  <c r="B443" i="90"/>
  <c r="C443" i="90" s="1"/>
  <c r="L443" i="90" s="1"/>
  <c r="B444" i="90"/>
  <c r="C444" i="90"/>
  <c r="L444" i="90"/>
  <c r="B445" i="90"/>
  <c r="C445" i="90" s="1"/>
  <c r="L445" i="90" s="1"/>
  <c r="B446" i="90"/>
  <c r="C446" i="90"/>
  <c r="L446" i="90" s="1"/>
  <c r="B447" i="90"/>
  <c r="C447" i="90" s="1"/>
  <c r="L447" i="90" s="1"/>
  <c r="B448" i="90"/>
  <c r="C448" i="90" s="1"/>
  <c r="L448" i="90" s="1"/>
  <c r="B449" i="90"/>
  <c r="C449" i="90" s="1"/>
  <c r="L449" i="90" s="1"/>
  <c r="B450" i="90"/>
  <c r="C450" i="90"/>
  <c r="L450" i="90" s="1"/>
  <c r="B451" i="90"/>
  <c r="C451" i="90"/>
  <c r="L451" i="90"/>
  <c r="B452" i="90"/>
  <c r="C452" i="90"/>
  <c r="L452" i="90" s="1"/>
  <c r="B453" i="90"/>
  <c r="C453" i="90"/>
  <c r="L453" i="90"/>
  <c r="B454" i="90"/>
  <c r="C454" i="90"/>
  <c r="L454" i="90" s="1"/>
  <c r="B455" i="90"/>
  <c r="C455" i="90"/>
  <c r="L455" i="90"/>
  <c r="B456" i="90"/>
  <c r="C456" i="90"/>
  <c r="L456" i="90"/>
  <c r="B457" i="90"/>
  <c r="C457" i="90" s="1"/>
  <c r="L457" i="90" s="1"/>
  <c r="B458" i="90"/>
  <c r="C458" i="90"/>
  <c r="L458" i="90"/>
  <c r="B459" i="90"/>
  <c r="C459" i="90" s="1"/>
  <c r="L459" i="90" s="1"/>
  <c r="B460" i="90"/>
  <c r="C460" i="90" s="1"/>
  <c r="L460" i="90" s="1"/>
  <c r="B461" i="90"/>
  <c r="C461" i="90" s="1"/>
  <c r="L461" i="90" s="1"/>
  <c r="B462" i="90"/>
  <c r="C462" i="90"/>
  <c r="L462" i="90" s="1"/>
  <c r="B463" i="90"/>
  <c r="C463" i="90" s="1"/>
  <c r="L463" i="90" s="1"/>
  <c r="B464" i="90"/>
  <c r="C464" i="90" s="1"/>
  <c r="L464" i="90" s="1"/>
  <c r="B465" i="90"/>
  <c r="C465" i="90" s="1"/>
  <c r="L465" i="90" s="1"/>
  <c r="B466" i="90"/>
  <c r="C466" i="90"/>
  <c r="L466" i="90" s="1"/>
  <c r="B467" i="90"/>
  <c r="C467" i="90"/>
  <c r="L467" i="90"/>
  <c r="B468" i="90"/>
  <c r="C468" i="90"/>
  <c r="L468" i="90" s="1"/>
  <c r="B469" i="90"/>
  <c r="C469" i="90"/>
  <c r="L469" i="90"/>
  <c r="B470" i="90"/>
  <c r="C470" i="90"/>
  <c r="L470" i="90" s="1"/>
  <c r="B471" i="90"/>
  <c r="C471" i="90"/>
  <c r="L471" i="90"/>
  <c r="B472" i="90"/>
  <c r="C472" i="90"/>
  <c r="L472" i="90"/>
  <c r="B473" i="90"/>
  <c r="C473" i="90" s="1"/>
  <c r="L473" i="90" s="1"/>
  <c r="B474" i="90"/>
  <c r="C474" i="90"/>
  <c r="L474" i="90"/>
  <c r="B475" i="90"/>
  <c r="C475" i="90" s="1"/>
  <c r="L475" i="90" s="1"/>
  <c r="B476" i="90"/>
  <c r="C476" i="90" s="1"/>
  <c r="L476" i="90" s="1"/>
  <c r="B477" i="90"/>
  <c r="C477" i="90" s="1"/>
  <c r="L477" i="90" s="1"/>
  <c r="B478" i="90"/>
  <c r="C478" i="90"/>
  <c r="L478" i="90" s="1"/>
  <c r="B479" i="90"/>
  <c r="C479" i="90" s="1"/>
  <c r="L479" i="90" s="1"/>
  <c r="B480" i="90"/>
  <c r="C480" i="90"/>
  <c r="L480" i="90" s="1"/>
  <c r="B481" i="90"/>
  <c r="C481" i="90" s="1"/>
  <c r="L481" i="90" s="1"/>
  <c r="B482" i="90"/>
  <c r="C482" i="90"/>
  <c r="L482" i="90" s="1"/>
  <c r="B483" i="90"/>
  <c r="C483" i="90"/>
  <c r="L483" i="90"/>
  <c r="B484" i="90"/>
  <c r="C484" i="90"/>
  <c r="L484" i="90" s="1"/>
  <c r="B485" i="90"/>
  <c r="C485" i="90"/>
  <c r="L485" i="90" s="1"/>
  <c r="B486" i="90"/>
  <c r="C486" i="90"/>
  <c r="L486" i="90" s="1"/>
  <c r="B487" i="90"/>
  <c r="C487" i="90"/>
  <c r="L487" i="90"/>
  <c r="B488" i="90"/>
  <c r="C488" i="90"/>
  <c r="L488" i="90"/>
  <c r="B489" i="90"/>
  <c r="C489" i="90" s="1"/>
  <c r="L489" i="90" s="1"/>
  <c r="B490" i="90"/>
  <c r="C490" i="90"/>
  <c r="L490" i="90"/>
  <c r="B491" i="90"/>
  <c r="C491" i="90" s="1"/>
  <c r="L491" i="90" s="1"/>
  <c r="B492" i="90"/>
  <c r="C492" i="90" s="1"/>
  <c r="L492" i="90" s="1"/>
  <c r="B493" i="90"/>
  <c r="C493" i="90" s="1"/>
  <c r="L493" i="90" s="1"/>
  <c r="B494" i="90"/>
  <c r="C494" i="90"/>
  <c r="L494" i="90" s="1"/>
  <c r="B495" i="90"/>
  <c r="C495" i="90" s="1"/>
  <c r="L495" i="90" s="1"/>
  <c r="B496" i="90"/>
  <c r="C496" i="90" s="1"/>
  <c r="L496" i="90" s="1"/>
  <c r="B497" i="90"/>
  <c r="C497" i="90" s="1"/>
  <c r="L497" i="90" s="1"/>
  <c r="B498" i="90"/>
  <c r="C498" i="90"/>
  <c r="L498" i="90" s="1"/>
  <c r="B499" i="90"/>
  <c r="C499" i="90"/>
  <c r="L499" i="90"/>
  <c r="B500" i="90"/>
  <c r="C500" i="90"/>
  <c r="L500" i="90" s="1"/>
  <c r="B501" i="90"/>
  <c r="C501" i="90"/>
  <c r="L501" i="90" s="1"/>
  <c r="B502" i="90"/>
  <c r="C502" i="90"/>
  <c r="L502" i="90" s="1"/>
  <c r="B503" i="90"/>
  <c r="C503" i="90"/>
  <c r="L503" i="90"/>
  <c r="B504" i="90"/>
  <c r="C504" i="90"/>
  <c r="L504" i="90"/>
  <c r="B505" i="90"/>
  <c r="C505" i="90" s="1"/>
  <c r="L505" i="90" s="1"/>
  <c r="B506" i="90"/>
  <c r="C506" i="90"/>
  <c r="L506" i="90"/>
  <c r="B507" i="90"/>
  <c r="C507" i="90" s="1"/>
  <c r="L507" i="90" s="1"/>
  <c r="B508" i="90"/>
  <c r="C508" i="90" s="1"/>
  <c r="L508" i="90" s="1"/>
  <c r="B509" i="90"/>
  <c r="C509" i="90" s="1"/>
  <c r="L509" i="90" s="1"/>
  <c r="B510" i="90"/>
  <c r="C510" i="90"/>
  <c r="L510" i="90" s="1"/>
  <c r="B511" i="90"/>
  <c r="C511" i="90" s="1"/>
  <c r="L511" i="90" s="1"/>
  <c r="B512" i="90"/>
  <c r="C512" i="90"/>
  <c r="L512" i="90" s="1"/>
  <c r="B513" i="90"/>
  <c r="C513" i="90" s="1"/>
  <c r="L513" i="90" s="1"/>
  <c r="B514" i="90"/>
  <c r="C514" i="90"/>
  <c r="L514" i="90" s="1"/>
  <c r="B515" i="90"/>
  <c r="C515" i="90"/>
  <c r="L515" i="90"/>
  <c r="B516" i="90"/>
  <c r="C516" i="90"/>
  <c r="L516" i="90" s="1"/>
  <c r="B517" i="90"/>
  <c r="C517" i="90"/>
  <c r="L517" i="90"/>
  <c r="B518" i="90"/>
  <c r="C518" i="90"/>
  <c r="L518" i="90" s="1"/>
  <c r="B519" i="90"/>
  <c r="C519" i="90"/>
  <c r="L519" i="90"/>
  <c r="B520" i="90"/>
  <c r="C520" i="90"/>
  <c r="L520" i="90"/>
  <c r="B521" i="90"/>
  <c r="C521" i="90" s="1"/>
  <c r="L521" i="90" s="1"/>
  <c r="B522" i="90"/>
  <c r="C522" i="90"/>
  <c r="L522" i="90"/>
  <c r="B523" i="90"/>
  <c r="C523" i="90" s="1"/>
  <c r="L523" i="90" s="1"/>
  <c r="B524" i="90"/>
  <c r="C524" i="90" s="1"/>
  <c r="L524" i="90" s="1"/>
  <c r="B525" i="90"/>
  <c r="C525" i="90" s="1"/>
  <c r="L525" i="90" s="1"/>
  <c r="B526" i="90"/>
  <c r="C526" i="90"/>
  <c r="L526" i="90" s="1"/>
  <c r="B527" i="90"/>
  <c r="C527" i="90" s="1"/>
  <c r="L527" i="90" s="1"/>
  <c r="B528" i="90"/>
  <c r="C528" i="90"/>
  <c r="L528" i="90" s="1"/>
  <c r="B529" i="90"/>
  <c r="C529" i="90" s="1"/>
  <c r="L529" i="90" s="1"/>
  <c r="B530" i="90"/>
  <c r="C530" i="90"/>
  <c r="L530" i="90" s="1"/>
  <c r="B531" i="90"/>
  <c r="C531" i="90"/>
  <c r="L531" i="90"/>
  <c r="B532" i="90"/>
  <c r="C532" i="90"/>
  <c r="L532" i="90" s="1"/>
  <c r="B533" i="90"/>
  <c r="C533" i="90"/>
  <c r="L533" i="90"/>
  <c r="B534" i="90"/>
  <c r="C534" i="90"/>
  <c r="L534" i="90" s="1"/>
  <c r="B535" i="90"/>
  <c r="C535" i="90"/>
  <c r="L535" i="90"/>
  <c r="B536" i="90"/>
  <c r="C536" i="90"/>
  <c r="L536" i="90"/>
  <c r="B537" i="90"/>
  <c r="C537" i="90" s="1"/>
  <c r="L537" i="90" s="1"/>
  <c r="B538" i="90"/>
  <c r="C538" i="90"/>
  <c r="L538" i="90"/>
  <c r="B539" i="90"/>
  <c r="C539" i="90" s="1"/>
  <c r="L539" i="90" s="1"/>
  <c r="B540" i="90"/>
  <c r="C540" i="90" s="1"/>
  <c r="L540" i="90" s="1"/>
  <c r="B541" i="90"/>
  <c r="C541" i="90" s="1"/>
  <c r="L541" i="90" s="1"/>
  <c r="B542" i="90"/>
  <c r="C542" i="90"/>
  <c r="L542" i="90" s="1"/>
  <c r="B543" i="90"/>
  <c r="C543" i="90" s="1"/>
  <c r="L543" i="90" s="1"/>
  <c r="B544" i="90"/>
  <c r="C544" i="90"/>
  <c r="L544" i="90" s="1"/>
  <c r="B545" i="90"/>
  <c r="C545" i="90" s="1"/>
  <c r="L545" i="90" s="1"/>
  <c r="B546" i="90"/>
  <c r="C546" i="90"/>
  <c r="L546" i="90" s="1"/>
  <c r="B547" i="90"/>
  <c r="C547" i="90"/>
  <c r="L547" i="90"/>
  <c r="B548" i="90"/>
  <c r="C548" i="90"/>
  <c r="L548" i="90" s="1"/>
  <c r="B549" i="90"/>
  <c r="C549" i="90"/>
  <c r="L549" i="90" s="1"/>
  <c r="B550" i="90"/>
  <c r="C550" i="90"/>
  <c r="L550" i="90" s="1"/>
  <c r="B551" i="90"/>
  <c r="C551" i="90"/>
  <c r="L551" i="90"/>
  <c r="B552" i="90"/>
  <c r="C552" i="90"/>
  <c r="L552" i="90"/>
  <c r="B553" i="90"/>
  <c r="C553" i="90" s="1"/>
  <c r="L553" i="90" s="1"/>
  <c r="B554" i="90"/>
  <c r="C554" i="90"/>
  <c r="L554" i="90"/>
  <c r="B555" i="90"/>
  <c r="C555" i="90" s="1"/>
  <c r="L555" i="90" s="1"/>
  <c r="B556" i="90"/>
  <c r="C556" i="90" s="1"/>
  <c r="L556" i="90" s="1"/>
  <c r="B557" i="90"/>
  <c r="C557" i="90" s="1"/>
  <c r="L557" i="90" s="1"/>
  <c r="B558" i="90"/>
  <c r="C558" i="90"/>
  <c r="L558" i="90" s="1"/>
  <c r="B559" i="90"/>
  <c r="C559" i="90" s="1"/>
  <c r="L559" i="90" s="1"/>
  <c r="B560" i="90"/>
  <c r="C560" i="90" s="1"/>
  <c r="L560" i="90" s="1"/>
  <c r="B561" i="90"/>
  <c r="C561" i="90" s="1"/>
  <c r="L561" i="90" s="1"/>
  <c r="B562" i="90"/>
  <c r="C562" i="90"/>
  <c r="L562" i="90" s="1"/>
  <c r="B563" i="90"/>
  <c r="C563" i="90"/>
  <c r="L563" i="90"/>
  <c r="B564" i="90"/>
  <c r="C564" i="90"/>
  <c r="L564" i="90" s="1"/>
  <c r="B565" i="90"/>
  <c r="C565" i="90"/>
  <c r="L565" i="90"/>
  <c r="B566" i="90"/>
  <c r="C566" i="90"/>
  <c r="L566" i="90" s="1"/>
  <c r="B567" i="90"/>
  <c r="C567" i="90"/>
  <c r="L567" i="90"/>
  <c r="B568" i="90"/>
  <c r="C568" i="90"/>
  <c r="L568" i="90"/>
  <c r="B569" i="90"/>
  <c r="C569" i="90" s="1"/>
  <c r="L569" i="90" s="1"/>
  <c r="B570" i="90"/>
  <c r="C570" i="90"/>
  <c r="L570" i="90"/>
  <c r="B571" i="90"/>
  <c r="C571" i="90" s="1"/>
  <c r="L571" i="90" s="1"/>
  <c r="B572" i="90"/>
  <c r="C572" i="90" s="1"/>
  <c r="L572" i="90" s="1"/>
  <c r="B573" i="90"/>
  <c r="C573" i="90" s="1"/>
  <c r="L573" i="90" s="1"/>
  <c r="B574" i="90"/>
  <c r="C574" i="90"/>
  <c r="L574" i="90" s="1"/>
  <c r="B575" i="90"/>
  <c r="C575" i="90" s="1"/>
  <c r="L575" i="90" s="1"/>
  <c r="B576" i="90"/>
  <c r="C576" i="90" s="1"/>
  <c r="L576" i="90" s="1"/>
  <c r="B577" i="90"/>
  <c r="C577" i="90" s="1"/>
  <c r="L577" i="90" s="1"/>
  <c r="B578" i="90"/>
  <c r="C578" i="90"/>
  <c r="L578" i="90" s="1"/>
  <c r="B579" i="90"/>
  <c r="C579" i="90"/>
  <c r="L579" i="90"/>
  <c r="B580" i="90"/>
  <c r="C580" i="90"/>
  <c r="L580" i="90" s="1"/>
  <c r="B581" i="90"/>
  <c r="C581" i="90"/>
  <c r="L581" i="90" s="1"/>
  <c r="B582" i="90"/>
  <c r="C582" i="90"/>
  <c r="L582" i="90" s="1"/>
  <c r="B583" i="90"/>
  <c r="C583" i="90"/>
  <c r="L583" i="90"/>
  <c r="B584" i="90"/>
  <c r="C584" i="90"/>
  <c r="L584" i="90"/>
  <c r="B585" i="90"/>
  <c r="C585" i="90" s="1"/>
  <c r="L585" i="90" s="1"/>
  <c r="B586" i="90"/>
  <c r="C586" i="90"/>
  <c r="L586" i="90"/>
  <c r="B587" i="90"/>
  <c r="C587" i="90" s="1"/>
  <c r="L587" i="90" s="1"/>
  <c r="B588" i="90"/>
  <c r="C588" i="90" s="1"/>
  <c r="L588" i="90" s="1"/>
  <c r="B589" i="90"/>
  <c r="C589" i="90" s="1"/>
  <c r="L589" i="90" s="1"/>
  <c r="B590" i="90"/>
  <c r="C590" i="90"/>
  <c r="L590" i="90" s="1"/>
  <c r="B591" i="90"/>
  <c r="C591" i="90" s="1"/>
  <c r="L591" i="90" s="1"/>
  <c r="B592" i="90"/>
  <c r="C592" i="90"/>
  <c r="L592" i="90" s="1"/>
  <c r="B593" i="90"/>
  <c r="C593" i="90" s="1"/>
  <c r="L593" i="90" s="1"/>
  <c r="B594" i="90"/>
  <c r="C594" i="90"/>
  <c r="L594" i="90" s="1"/>
  <c r="B595" i="90"/>
  <c r="C595" i="90"/>
  <c r="L595" i="90"/>
  <c r="B596" i="90"/>
  <c r="C596" i="90"/>
  <c r="L596" i="90" s="1"/>
  <c r="B597" i="90"/>
  <c r="C597" i="90"/>
  <c r="L597" i="90" s="1"/>
  <c r="B598" i="90"/>
  <c r="C598" i="90"/>
  <c r="L598" i="90" s="1"/>
  <c r="B599" i="90"/>
  <c r="C599" i="90"/>
  <c r="L599" i="90"/>
  <c r="B600" i="90"/>
  <c r="C600" i="90"/>
  <c r="L600" i="90"/>
  <c r="B601" i="90"/>
  <c r="C601" i="90" s="1"/>
  <c r="L601" i="90" s="1"/>
  <c r="B602" i="90"/>
  <c r="C602" i="90"/>
  <c r="L602" i="90"/>
  <c r="B603" i="90"/>
  <c r="C603" i="90" s="1"/>
  <c r="L603" i="90" s="1"/>
  <c r="B604" i="90"/>
  <c r="C604" i="90" s="1"/>
  <c r="L604" i="90" s="1"/>
  <c r="B605" i="90"/>
  <c r="C605" i="90" s="1"/>
  <c r="L605" i="90" s="1"/>
  <c r="B606" i="90"/>
  <c r="C606" i="90"/>
  <c r="L606" i="90" s="1"/>
  <c r="B607" i="90"/>
  <c r="C607" i="90" s="1"/>
  <c r="L607" i="90" s="1"/>
  <c r="B608" i="90"/>
  <c r="C608" i="90"/>
  <c r="L608" i="90" s="1"/>
  <c r="B609" i="90"/>
  <c r="C609" i="90" s="1"/>
  <c r="L609" i="90" s="1"/>
  <c r="B610" i="90"/>
  <c r="C610" i="90"/>
  <c r="L610" i="90" s="1"/>
  <c r="B611" i="90"/>
  <c r="C611" i="90"/>
  <c r="L611" i="90"/>
  <c r="B612" i="90"/>
  <c r="C612" i="90"/>
  <c r="L612" i="90" s="1"/>
  <c r="B613" i="90"/>
  <c r="C613" i="90"/>
  <c r="L613" i="90"/>
  <c r="B614" i="90"/>
  <c r="C614" i="90"/>
  <c r="L614" i="90" s="1"/>
  <c r="B615" i="90"/>
  <c r="C615" i="90"/>
  <c r="L615" i="90"/>
  <c r="B616" i="90"/>
  <c r="C616" i="90"/>
  <c r="L616" i="90"/>
  <c r="B617" i="90"/>
  <c r="C617" i="90" s="1"/>
  <c r="L617" i="90" s="1"/>
  <c r="B618" i="90"/>
  <c r="C618" i="90"/>
  <c r="L618" i="90"/>
  <c r="B619" i="90"/>
  <c r="C619" i="90" s="1"/>
  <c r="L619" i="90" s="1"/>
  <c r="B620" i="90"/>
  <c r="C620" i="90" s="1"/>
  <c r="L620" i="90" s="1"/>
  <c r="B621" i="90"/>
  <c r="C621" i="90" s="1"/>
  <c r="L621" i="90" s="1"/>
  <c r="B622" i="90"/>
  <c r="C622" i="90"/>
  <c r="L622" i="90" s="1"/>
  <c r="B623" i="90"/>
  <c r="C623" i="90" s="1"/>
  <c r="L623" i="90" s="1"/>
  <c r="B624" i="90"/>
  <c r="C624" i="90" s="1"/>
  <c r="L624" i="90" s="1"/>
  <c r="B625" i="90"/>
  <c r="C625" i="90" s="1"/>
  <c r="L625" i="90" s="1"/>
  <c r="B626" i="90"/>
  <c r="C626" i="90"/>
  <c r="L626" i="90" s="1"/>
  <c r="B627" i="90"/>
  <c r="C627" i="90"/>
  <c r="L627" i="90"/>
  <c r="B628" i="90"/>
  <c r="C628" i="90"/>
  <c r="L628" i="90" s="1"/>
  <c r="B629" i="90"/>
  <c r="C629" i="90"/>
  <c r="L629" i="90" s="1"/>
  <c r="B630" i="90"/>
  <c r="C630" i="90"/>
  <c r="L630" i="90" s="1"/>
  <c r="B631" i="90"/>
  <c r="C631" i="90"/>
  <c r="L631" i="90"/>
  <c r="B632" i="90"/>
  <c r="C632" i="90"/>
  <c r="L632" i="90"/>
  <c r="B633" i="90"/>
  <c r="C633" i="90" s="1"/>
  <c r="L633" i="90" s="1"/>
  <c r="B634" i="90"/>
  <c r="C634" i="90"/>
  <c r="L634" i="90"/>
  <c r="B635" i="90"/>
  <c r="C635" i="90" s="1"/>
  <c r="L635" i="90" s="1"/>
  <c r="B636" i="90"/>
  <c r="C636" i="90" s="1"/>
  <c r="L636" i="90" s="1"/>
  <c r="B637" i="90"/>
  <c r="C637" i="90" s="1"/>
  <c r="L637" i="90" s="1"/>
  <c r="B638" i="90"/>
  <c r="C638" i="90"/>
  <c r="L638" i="90" s="1"/>
  <c r="B639" i="90"/>
  <c r="C639" i="90" s="1"/>
  <c r="L639" i="90" s="1"/>
  <c r="B640" i="90"/>
  <c r="C640" i="90"/>
  <c r="L640" i="90" s="1"/>
  <c r="B641" i="90"/>
  <c r="C641" i="90" s="1"/>
  <c r="L641" i="90" s="1"/>
  <c r="B642" i="90"/>
  <c r="C642" i="90"/>
  <c r="L642" i="90" s="1"/>
  <c r="B643" i="90"/>
  <c r="C643" i="90"/>
  <c r="L643" i="90"/>
  <c r="B644" i="90"/>
  <c r="C644" i="90"/>
  <c r="L644" i="90" s="1"/>
  <c r="B645" i="90"/>
  <c r="C645" i="90"/>
  <c r="L645" i="90" s="1"/>
  <c r="B646" i="90"/>
  <c r="C646" i="90"/>
  <c r="L646" i="90" s="1"/>
  <c r="B647" i="90"/>
  <c r="C647" i="90"/>
  <c r="L647" i="90"/>
  <c r="B648" i="90"/>
  <c r="C648" i="90"/>
  <c r="L648" i="90"/>
  <c r="B649" i="90"/>
  <c r="C649" i="90" s="1"/>
  <c r="L649" i="90" s="1"/>
  <c r="B650" i="90"/>
  <c r="C650" i="90"/>
  <c r="L650" i="90"/>
  <c r="B651" i="90"/>
  <c r="C651" i="90" s="1"/>
  <c r="L651" i="90" s="1"/>
  <c r="B652" i="90"/>
  <c r="C652" i="90" s="1"/>
  <c r="L652" i="90" s="1"/>
  <c r="B653" i="90"/>
  <c r="C653" i="90" s="1"/>
  <c r="L653" i="90" s="1"/>
  <c r="B654" i="90"/>
  <c r="C654" i="90"/>
  <c r="L654" i="90" s="1"/>
  <c r="B655" i="90"/>
  <c r="C655" i="90" s="1"/>
  <c r="L655" i="90" s="1"/>
  <c r="B656" i="90"/>
  <c r="C656" i="90" s="1"/>
  <c r="L656" i="90" s="1"/>
  <c r="B657" i="90"/>
  <c r="C657" i="90" s="1"/>
  <c r="L657" i="90" s="1"/>
  <c r="B658" i="90"/>
  <c r="C658" i="90"/>
  <c r="L658" i="90" s="1"/>
  <c r="B659" i="90"/>
  <c r="C659" i="90"/>
  <c r="L659" i="90"/>
  <c r="B660" i="90"/>
  <c r="C660" i="90"/>
  <c r="L660" i="90" s="1"/>
  <c r="B661" i="90"/>
  <c r="C661" i="90"/>
  <c r="L661" i="90"/>
  <c r="B662" i="90"/>
  <c r="C662" i="90"/>
  <c r="L662" i="90" s="1"/>
  <c r="B663" i="90"/>
  <c r="C663" i="90"/>
  <c r="L663" i="90"/>
  <c r="B664" i="90"/>
  <c r="C664" i="90"/>
  <c r="L664" i="90"/>
  <c r="B665" i="90"/>
  <c r="C665" i="90" s="1"/>
  <c r="L665" i="90" s="1"/>
  <c r="B666" i="90"/>
  <c r="C666" i="90"/>
  <c r="L666" i="90"/>
  <c r="B667" i="90"/>
  <c r="C667" i="90" s="1"/>
  <c r="L667" i="90" s="1"/>
  <c r="B668" i="90"/>
  <c r="C668" i="90" s="1"/>
  <c r="L668" i="90" s="1"/>
  <c r="B669" i="90"/>
  <c r="C669" i="90" s="1"/>
  <c r="L669" i="90" s="1"/>
  <c r="B670" i="90"/>
  <c r="C670" i="90"/>
  <c r="L670" i="90" s="1"/>
  <c r="B671" i="90"/>
  <c r="C671" i="90" s="1"/>
  <c r="L671" i="90" s="1"/>
  <c r="B672" i="90"/>
  <c r="C672" i="90"/>
  <c r="L672" i="90" s="1"/>
  <c r="B673" i="90"/>
  <c r="C673" i="90" s="1"/>
  <c r="L673" i="90" s="1"/>
  <c r="B674" i="90"/>
  <c r="C674" i="90"/>
  <c r="L674" i="90" s="1"/>
  <c r="B675" i="90"/>
  <c r="C675" i="90"/>
  <c r="L675" i="90"/>
  <c r="B676" i="90"/>
  <c r="C676" i="90"/>
  <c r="L676" i="90" s="1"/>
  <c r="B677" i="90"/>
  <c r="C677" i="90"/>
  <c r="L677" i="90" s="1"/>
  <c r="B678" i="90"/>
  <c r="C678" i="90"/>
  <c r="L678" i="90" s="1"/>
  <c r="B679" i="90"/>
  <c r="C679" i="90"/>
  <c r="L679" i="90"/>
  <c r="B680" i="90"/>
  <c r="C680" i="90"/>
  <c r="L680" i="90"/>
  <c r="B681" i="90"/>
  <c r="C681" i="90" s="1"/>
  <c r="L681" i="90" s="1"/>
  <c r="B682" i="90"/>
  <c r="C682" i="90"/>
  <c r="L682" i="90"/>
  <c r="B683" i="90"/>
  <c r="C683" i="90" s="1"/>
  <c r="L683" i="90" s="1"/>
  <c r="B684" i="90"/>
  <c r="C684" i="90" s="1"/>
  <c r="L684" i="90" s="1"/>
  <c r="B685" i="90"/>
  <c r="C685" i="90" s="1"/>
  <c r="L685" i="90" s="1"/>
  <c r="B686" i="90"/>
  <c r="C686" i="90"/>
  <c r="L686" i="90" s="1"/>
  <c r="B687" i="90"/>
  <c r="C687" i="90" s="1"/>
  <c r="L687" i="90" s="1"/>
  <c r="B688" i="90"/>
  <c r="C688" i="90"/>
  <c r="L688" i="90" s="1"/>
  <c r="B689" i="90"/>
  <c r="C689" i="90" s="1"/>
  <c r="L689" i="90" s="1"/>
  <c r="B690" i="90"/>
  <c r="C690" i="90"/>
  <c r="L690" i="90" s="1"/>
  <c r="B691" i="90"/>
  <c r="C691" i="90"/>
  <c r="L691" i="90"/>
  <c r="B692" i="90"/>
  <c r="C692" i="90"/>
  <c r="L692" i="90" s="1"/>
  <c r="B693" i="90"/>
  <c r="C693" i="90"/>
  <c r="L693" i="90"/>
  <c r="B694" i="90"/>
  <c r="C694" i="90"/>
  <c r="L694" i="90" s="1"/>
  <c r="B695" i="90"/>
  <c r="C695" i="90"/>
  <c r="L695" i="90"/>
  <c r="B696" i="90"/>
  <c r="C696" i="90"/>
  <c r="L696" i="90"/>
  <c r="B697" i="90"/>
  <c r="C697" i="90" s="1"/>
  <c r="L697" i="90" s="1"/>
  <c r="B698" i="90"/>
  <c r="C698" i="90"/>
  <c r="L698" i="90"/>
  <c r="B699" i="90"/>
  <c r="C699" i="90" s="1"/>
  <c r="L699" i="90" s="1"/>
  <c r="B700" i="90"/>
  <c r="C700" i="90" s="1"/>
  <c r="L700" i="90" s="1"/>
  <c r="B701" i="90"/>
  <c r="C701" i="90" s="1"/>
  <c r="L701" i="90" s="1"/>
  <c r="B702" i="90"/>
  <c r="C702" i="90"/>
  <c r="L702" i="90" s="1"/>
  <c r="B703" i="90"/>
  <c r="C703" i="90" s="1"/>
  <c r="L703" i="90" s="1"/>
  <c r="B704" i="90"/>
  <c r="C704" i="90" s="1"/>
  <c r="L704" i="90" s="1"/>
  <c r="B705" i="90"/>
  <c r="C705" i="90" s="1"/>
  <c r="L705" i="90" s="1"/>
  <c r="B706" i="90"/>
  <c r="C706" i="90"/>
  <c r="L706" i="90" s="1"/>
  <c r="B707" i="90"/>
  <c r="C707" i="90"/>
  <c r="L707" i="90"/>
  <c r="B708" i="90"/>
  <c r="C708" i="90"/>
  <c r="L708" i="90" s="1"/>
  <c r="J3" i="89"/>
  <c r="J25" i="89" s="1"/>
  <c r="K25" i="89" s="1"/>
  <c r="K3" i="89"/>
  <c r="L3" i="89"/>
  <c r="M3" i="89"/>
  <c r="N3" i="89"/>
  <c r="J4" i="89"/>
  <c r="K4" i="89"/>
  <c r="L4" i="89"/>
  <c r="M4" i="89"/>
  <c r="N4" i="89"/>
  <c r="J5" i="89"/>
  <c r="K5" i="89"/>
  <c r="L5" i="89"/>
  <c r="M5" i="89"/>
  <c r="N5" i="89"/>
  <c r="J6" i="89"/>
  <c r="K6" i="89"/>
  <c r="L6" i="89"/>
  <c r="M6" i="89"/>
  <c r="N6" i="89"/>
  <c r="J7" i="89"/>
  <c r="K7" i="89"/>
  <c r="L7" i="89"/>
  <c r="M7" i="89"/>
  <c r="N7" i="89"/>
  <c r="J11" i="89"/>
  <c r="K11" i="89"/>
  <c r="J18" i="89" s="1"/>
  <c r="L11" i="89"/>
  <c r="M11" i="89"/>
  <c r="N11" i="89"/>
  <c r="J24" i="89"/>
  <c r="J26" i="89" s="1"/>
  <c r="K24" i="89"/>
  <c r="K26" i="89" s="1"/>
  <c r="G3" i="88"/>
  <c r="H3" i="88"/>
  <c r="G4" i="88" s="1"/>
  <c r="K3" i="88"/>
  <c r="L3" i="88"/>
  <c r="N3" i="88"/>
  <c r="P3" i="88"/>
  <c r="Q3" i="88"/>
  <c r="H4" i="88"/>
  <c r="K4" i="88"/>
  <c r="L4" i="88"/>
  <c r="N4" i="88"/>
  <c r="P4" i="88"/>
  <c r="Q4" i="88"/>
  <c r="K5" i="88"/>
  <c r="L5" i="88"/>
  <c r="N5" i="88"/>
  <c r="P5" i="88"/>
  <c r="Q5" i="88"/>
  <c r="K6" i="88"/>
  <c r="L6" i="88"/>
  <c r="N6" i="88"/>
  <c r="P6" i="88"/>
  <c r="Q6" i="88"/>
  <c r="G7" i="88"/>
  <c r="H7" i="88"/>
  <c r="K7" i="88"/>
  <c r="L7" i="88"/>
  <c r="N7" i="88"/>
  <c r="P7" i="88"/>
  <c r="Q7" i="88"/>
  <c r="K8" i="88"/>
  <c r="L8" i="88"/>
  <c r="N8" i="88"/>
  <c r="P8" i="88"/>
  <c r="Q8" i="88"/>
  <c r="K9" i="88"/>
  <c r="L9" i="88" s="1"/>
  <c r="N9" i="88"/>
  <c r="P9" i="88"/>
  <c r="Q9" i="88"/>
  <c r="N10" i="88"/>
  <c r="K10" i="88"/>
  <c r="L10" i="88"/>
  <c r="N11" i="88"/>
  <c r="K11" i="88"/>
  <c r="L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N102" i="88"/>
  <c r="N103" i="88"/>
  <c r="N104" i="88"/>
  <c r="N105" i="88"/>
  <c r="N106" i="88"/>
  <c r="N107" i="88"/>
  <c r="N108" i="88"/>
  <c r="N109" i="88"/>
  <c r="N110" i="88"/>
  <c r="N111" i="88"/>
  <c r="N112" i="88"/>
  <c r="N113" i="88"/>
  <c r="N114" i="88"/>
  <c r="N115" i="88"/>
  <c r="N116" i="88"/>
  <c r="N117" i="88"/>
  <c r="N118" i="88"/>
  <c r="N119" i="88"/>
  <c r="N120" i="88"/>
  <c r="N121" i="88"/>
  <c r="N122" i="88"/>
  <c r="N123" i="88"/>
  <c r="N124" i="88"/>
  <c r="N125" i="88"/>
  <c r="N126" i="88"/>
  <c r="N127" i="88"/>
  <c r="N128" i="88"/>
  <c r="N129" i="88"/>
  <c r="N130" i="88"/>
  <c r="N131" i="88"/>
  <c r="N132" i="88"/>
  <c r="N133" i="88"/>
  <c r="N134" i="88"/>
  <c r="N135" i="88"/>
  <c r="N136" i="88"/>
  <c r="N137" i="88"/>
  <c r="N138" i="88"/>
  <c r="N139" i="88"/>
  <c r="N140" i="88"/>
  <c r="N141" i="88"/>
  <c r="N142" i="88"/>
  <c r="N143" i="88"/>
  <c r="N144" i="88"/>
  <c r="N145" i="88"/>
  <c r="N146" i="88"/>
  <c r="N147" i="88"/>
  <c r="N148" i="88"/>
  <c r="N149" i="88"/>
  <c r="N150" i="88"/>
  <c r="N151" i="88"/>
  <c r="N152" i="88"/>
  <c r="N153" i="88"/>
  <c r="N154" i="88"/>
  <c r="N155" i="88"/>
  <c r="N156" i="88"/>
  <c r="N157" i="88"/>
  <c r="N158" i="88"/>
  <c r="N159" i="88"/>
  <c r="N160" i="88"/>
  <c r="N161" i="88"/>
  <c r="N162" i="88"/>
  <c r="N163" i="88"/>
  <c r="N164" i="88"/>
  <c r="N165" i="88"/>
  <c r="N166" i="88"/>
  <c r="N167" i="88"/>
  <c r="N168" i="88"/>
  <c r="N169" i="88"/>
  <c r="N170" i="88"/>
  <c r="N171" i="88"/>
  <c r="N172" i="88"/>
  <c r="N173" i="88"/>
  <c r="N174" i="88"/>
  <c r="N175" i="88"/>
  <c r="N176" i="88"/>
  <c r="N177" i="88"/>
  <c r="N178" i="88"/>
  <c r="N179" i="88"/>
  <c r="N180" i="88"/>
  <c r="N181" i="88"/>
  <c r="N182" i="88"/>
  <c r="N183" i="88"/>
  <c r="N184" i="88"/>
  <c r="N185" i="88"/>
  <c r="N186" i="88"/>
  <c r="N187" i="88"/>
  <c r="N188" i="88"/>
  <c r="N189" i="88"/>
  <c r="N190" i="88"/>
  <c r="N191" i="88"/>
  <c r="N192" i="88"/>
  <c r="N193" i="88"/>
  <c r="N194" i="88"/>
  <c r="N195" i="88"/>
  <c r="N196" i="88"/>
  <c r="N197" i="88"/>
  <c r="N198" i="88"/>
  <c r="N199" i="88"/>
  <c r="N200" i="88"/>
  <c r="N201" i="88"/>
  <c r="N202" i="88"/>
  <c r="N203" i="88"/>
  <c r="N204" i="88"/>
  <c r="N205" i="88"/>
  <c r="N206" i="88"/>
  <c r="N207" i="88"/>
  <c r="N208" i="88"/>
  <c r="N209" i="88"/>
  <c r="N210" i="88"/>
  <c r="N211" i="88"/>
  <c r="N212" i="88"/>
  <c r="N213" i="88"/>
  <c r="N214" i="88"/>
  <c r="N215" i="88"/>
  <c r="N216" i="88"/>
  <c r="N217" i="88"/>
  <c r="N218" i="88"/>
  <c r="N219" i="88"/>
  <c r="N220" i="88"/>
  <c r="N221" i="88"/>
  <c r="N222" i="88"/>
  <c r="N223" i="88"/>
  <c r="N224" i="88"/>
  <c r="N225" i="88"/>
  <c r="N226" i="88"/>
  <c r="N227" i="88"/>
  <c r="N228" i="88"/>
  <c r="N229" i="88"/>
  <c r="N230" i="88"/>
  <c r="N231" i="88"/>
  <c r="N232" i="88"/>
  <c r="N233" i="88"/>
  <c r="N234" i="88"/>
  <c r="N235" i="88"/>
  <c r="N236" i="88"/>
  <c r="N237" i="88"/>
  <c r="N238" i="88"/>
  <c r="N239" i="88"/>
  <c r="N240" i="88"/>
  <c r="N241" i="88"/>
  <c r="N242" i="88"/>
  <c r="N243" i="88"/>
  <c r="N244" i="88"/>
  <c r="N245" i="88"/>
  <c r="N246" i="88"/>
  <c r="N247" i="88"/>
  <c r="N248" i="88"/>
  <c r="N249" i="88"/>
  <c r="N250" i="88"/>
  <c r="N251" i="88"/>
  <c r="N252" i="88"/>
  <c r="N253" i="88"/>
  <c r="N254" i="88"/>
  <c r="N255" i="88"/>
  <c r="N256" i="88"/>
  <c r="N257" i="88"/>
  <c r="N258" i="88"/>
  <c r="N259" i="88"/>
  <c r="N260" i="88"/>
  <c r="N261" i="88"/>
  <c r="N262" i="88"/>
  <c r="N263" i="88"/>
  <c r="N264" i="88"/>
  <c r="N265" i="88"/>
  <c r="N266" i="88"/>
  <c r="N267" i="88"/>
  <c r="N268" i="88"/>
  <c r="N269" i="88"/>
  <c r="N270" i="88"/>
  <c r="N271" i="88"/>
  <c r="N272" i="88"/>
  <c r="N273" i="88"/>
  <c r="N274" i="88"/>
  <c r="N275" i="88"/>
  <c r="N276" i="88"/>
  <c r="N277" i="88"/>
  <c r="N278" i="88"/>
  <c r="N279" i="88"/>
  <c r="N280" i="88"/>
  <c r="N281" i="88"/>
  <c r="N282" i="88"/>
  <c r="N283" i="88"/>
  <c r="N284" i="88"/>
  <c r="N285" i="88"/>
  <c r="N286" i="88"/>
  <c r="N287" i="88"/>
  <c r="N288" i="88"/>
  <c r="N289" i="88"/>
  <c r="N290" i="88"/>
  <c r="N291" i="88"/>
  <c r="N292" i="88"/>
  <c r="N293" i="88"/>
  <c r="N294" i="88"/>
  <c r="N295" i="88"/>
  <c r="N296" i="88"/>
  <c r="N297" i="88"/>
  <c r="N298" i="88"/>
  <c r="N299" i="88"/>
  <c r="N300" i="88"/>
  <c r="N301" i="88"/>
  <c r="N302" i="88"/>
  <c r="N303" i="88"/>
  <c r="N304" i="88"/>
  <c r="N305" i="88"/>
  <c r="N306" i="88"/>
  <c r="N307" i="88"/>
  <c r="N308" i="88"/>
  <c r="N309" i="88"/>
  <c r="N310" i="88"/>
  <c r="N311" i="88"/>
  <c r="N312" i="88"/>
  <c r="N313" i="88"/>
  <c r="N314" i="88"/>
  <c r="N315" i="88"/>
  <c r="N316" i="88"/>
  <c r="N317" i="88"/>
  <c r="N318" i="88"/>
  <c r="N319" i="88"/>
  <c r="N320" i="88"/>
  <c r="N321" i="88"/>
  <c r="N322" i="88"/>
  <c r="N323" i="88"/>
  <c r="N324" i="88"/>
  <c r="N325" i="88"/>
  <c r="N326" i="88"/>
  <c r="N327" i="88"/>
  <c r="N328" i="88"/>
  <c r="N329" i="88"/>
  <c r="N330" i="88"/>
  <c r="N331" i="88"/>
  <c r="N332" i="88"/>
  <c r="N333" i="88"/>
  <c r="N334" i="88"/>
  <c r="N335" i="88"/>
  <c r="N336" i="88"/>
  <c r="N337" i="88"/>
  <c r="N338" i="88"/>
  <c r="N339" i="88"/>
  <c r="N340" i="88"/>
  <c r="N341" i="88"/>
  <c r="N342" i="88"/>
  <c r="N343" i="88"/>
  <c r="N344" i="88"/>
  <c r="N345" i="88"/>
  <c r="N346" i="88"/>
  <c r="N347" i="88"/>
  <c r="N348" i="88"/>
  <c r="N349" i="88"/>
  <c r="N350" i="88"/>
  <c r="N351" i="88"/>
  <c r="N352" i="88"/>
  <c r="N353" i="88"/>
  <c r="N354" i="88"/>
  <c r="N355" i="88"/>
  <c r="N356" i="88"/>
  <c r="N357" i="88"/>
  <c r="N358" i="88"/>
  <c r="N359" i="88"/>
  <c r="N360" i="88"/>
  <c r="N361" i="88"/>
  <c r="N362" i="88"/>
  <c r="N363" i="88"/>
  <c r="N364" i="88"/>
  <c r="N365" i="88"/>
  <c r="N366" i="88"/>
  <c r="N367" i="88"/>
  <c r="N368" i="88"/>
  <c r="N369" i="88"/>
  <c r="N370" i="88"/>
  <c r="N371" i="88"/>
  <c r="N372" i="88"/>
  <c r="N373" i="88"/>
  <c r="N374" i="88"/>
  <c r="N375" i="88"/>
  <c r="N376" i="88"/>
  <c r="N377" i="88"/>
  <c r="N378" i="88"/>
  <c r="N379" i="88"/>
  <c r="N380" i="88"/>
  <c r="N381" i="88"/>
  <c r="N382" i="88"/>
  <c r="N383" i="88"/>
  <c r="N384" i="88"/>
  <c r="N385" i="88"/>
  <c r="N386" i="88"/>
  <c r="N387" i="88"/>
  <c r="N388" i="88"/>
  <c r="N389" i="88"/>
  <c r="N390" i="88"/>
  <c r="N391" i="88"/>
  <c r="N392" i="88"/>
  <c r="N393" i="88"/>
  <c r="N394" i="88"/>
  <c r="N395" i="88"/>
  <c r="N396" i="88"/>
  <c r="N397" i="88"/>
  <c r="N398" i="88"/>
  <c r="N399" i="88"/>
  <c r="N400" i="88"/>
  <c r="N401" i="88"/>
  <c r="N402" i="88"/>
  <c r="N403" i="88"/>
  <c r="N404" i="88"/>
  <c r="N405" i="88"/>
  <c r="N406" i="88"/>
  <c r="N407" i="88"/>
  <c r="N408" i="88"/>
  <c r="N409" i="88"/>
  <c r="N410" i="88"/>
  <c r="N411" i="88"/>
  <c r="N412" i="88"/>
  <c r="N413" i="88"/>
  <c r="N414" i="88"/>
  <c r="N415" i="88"/>
  <c r="N416" i="88"/>
  <c r="N417" i="88"/>
  <c r="N418" i="88"/>
  <c r="N419" i="88"/>
  <c r="N420" i="88"/>
  <c r="N421" i="88"/>
  <c r="N422" i="88"/>
  <c r="N423" i="88"/>
  <c r="N424" i="88"/>
  <c r="N425" i="88"/>
  <c r="N426" i="88"/>
  <c r="N427" i="88"/>
  <c r="N428" i="88"/>
  <c r="N429" i="88"/>
  <c r="N430" i="88"/>
  <c r="N431" i="88"/>
  <c r="N432" i="88"/>
  <c r="N433" i="88"/>
  <c r="N434" i="88"/>
  <c r="N435" i="88"/>
  <c r="N436" i="88"/>
  <c r="N437" i="88"/>
  <c r="N438" i="88"/>
  <c r="N439" i="88"/>
  <c r="N440" i="88"/>
  <c r="N441" i="88"/>
  <c r="N442" i="88"/>
  <c r="N443" i="88"/>
  <c r="N444" i="88"/>
  <c r="N445" i="88"/>
  <c r="N446" i="88"/>
  <c r="N447" i="88"/>
  <c r="N448" i="88"/>
  <c r="N449" i="88"/>
  <c r="N450" i="88"/>
  <c r="N451" i="88"/>
  <c r="N452" i="88"/>
  <c r="N453" i="88"/>
  <c r="N454" i="88"/>
  <c r="N455" i="88"/>
  <c r="N456" i="88"/>
  <c r="N457" i="88"/>
  <c r="N458" i="88"/>
  <c r="N459" i="88"/>
  <c r="N460" i="88"/>
  <c r="N461" i="88"/>
  <c r="N462" i="88"/>
  <c r="N463" i="88"/>
  <c r="N464" i="88"/>
  <c r="N465" i="88"/>
  <c r="N466" i="88"/>
  <c r="N467" i="88"/>
  <c r="N468" i="88"/>
  <c r="N469" i="88"/>
  <c r="N470" i="88"/>
  <c r="N471" i="88"/>
  <c r="N472" i="88"/>
  <c r="N473" i="88"/>
  <c r="N474" i="88"/>
  <c r="N475" i="88"/>
  <c r="N476" i="88"/>
  <c r="N477" i="88"/>
  <c r="N478" i="88"/>
  <c r="N479" i="88"/>
  <c r="N480" i="88"/>
  <c r="N481" i="88"/>
  <c r="N482" i="88"/>
  <c r="N483" i="88"/>
  <c r="N484" i="88"/>
  <c r="N485" i="88"/>
  <c r="N486" i="88"/>
  <c r="N487" i="88"/>
  <c r="N488" i="88"/>
  <c r="N489" i="88"/>
  <c r="N490" i="88"/>
  <c r="N491" i="88"/>
  <c r="N492" i="88"/>
  <c r="N493" i="88"/>
  <c r="N494" i="88"/>
  <c r="N495" i="88"/>
  <c r="N496" i="88"/>
  <c r="N497" i="88"/>
  <c r="N498" i="88"/>
  <c r="N499" i="88"/>
  <c r="N500" i="88"/>
  <c r="N501" i="88"/>
  <c r="N502" i="88"/>
  <c r="N503" i="88"/>
  <c r="N504" i="88"/>
  <c r="N505" i="88"/>
  <c r="N506" i="88"/>
  <c r="N507" i="88"/>
  <c r="N508" i="88"/>
  <c r="N509" i="88"/>
  <c r="N510" i="88"/>
  <c r="N511" i="88"/>
  <c r="N512" i="88"/>
  <c r="N513" i="88"/>
  <c r="N514" i="88"/>
  <c r="N515" i="88"/>
  <c r="N516" i="88"/>
  <c r="N517" i="88"/>
  <c r="N518" i="88"/>
  <c r="N519" i="88"/>
  <c r="N520" i="88"/>
  <c r="N521" i="88"/>
  <c r="N522" i="88"/>
  <c r="N523" i="88"/>
  <c r="N524" i="88"/>
  <c r="N525" i="88"/>
  <c r="N526" i="88"/>
  <c r="N527" i="88"/>
  <c r="N528" i="88"/>
  <c r="N529" i="88"/>
  <c r="N530" i="88"/>
  <c r="N531" i="88"/>
  <c r="N532" i="88"/>
  <c r="N533" i="88"/>
  <c r="N534" i="88"/>
  <c r="N535" i="88"/>
  <c r="N536" i="88"/>
  <c r="N537" i="88"/>
  <c r="N538" i="88"/>
  <c r="N539" i="88"/>
  <c r="N540" i="88"/>
  <c r="N541" i="88"/>
  <c r="N542" i="88"/>
  <c r="N543" i="88"/>
  <c r="N544" i="88"/>
  <c r="N545" i="88"/>
  <c r="N546" i="88"/>
  <c r="N547" i="88"/>
  <c r="N548" i="88"/>
  <c r="N549" i="88"/>
  <c r="N550" i="88"/>
  <c r="N551" i="88"/>
  <c r="N552" i="88"/>
  <c r="N553" i="88"/>
  <c r="N554" i="88"/>
  <c r="N555" i="88"/>
  <c r="N556" i="88"/>
  <c r="N557" i="88"/>
  <c r="N558" i="88"/>
  <c r="N559" i="88"/>
  <c r="N560" i="88"/>
  <c r="N561" i="88"/>
  <c r="N562" i="88"/>
  <c r="N563" i="88"/>
  <c r="N564" i="88"/>
  <c r="N565" i="88"/>
  <c r="N566" i="88"/>
  <c r="N567" i="88"/>
  <c r="N568" i="88"/>
  <c r="N569" i="88"/>
  <c r="N570" i="88"/>
  <c r="N571" i="88"/>
  <c r="N572" i="88"/>
  <c r="N573" i="88"/>
  <c r="N574" i="88"/>
  <c r="N575" i="88"/>
  <c r="N576" i="88"/>
  <c r="N577" i="88"/>
  <c r="N578" i="88"/>
  <c r="N579" i="88"/>
  <c r="N580" i="88"/>
  <c r="N581" i="88"/>
  <c r="N582" i="88"/>
  <c r="N583" i="88"/>
  <c r="N584" i="88"/>
  <c r="N585" i="88"/>
  <c r="N586" i="88"/>
  <c r="N587" i="88"/>
  <c r="N588" i="88"/>
  <c r="N589" i="88"/>
  <c r="N590" i="88"/>
  <c r="N591" i="88"/>
  <c r="N592" i="88"/>
  <c r="N593" i="88"/>
  <c r="N594" i="88"/>
  <c r="N595" i="88"/>
  <c r="N596" i="88"/>
  <c r="N597" i="88"/>
  <c r="N598" i="88"/>
  <c r="N599" i="88"/>
  <c r="N600" i="88"/>
  <c r="N601" i="88"/>
  <c r="N602" i="88"/>
  <c r="N603" i="88"/>
  <c r="N604" i="88"/>
  <c r="N605" i="88"/>
  <c r="N606" i="88"/>
  <c r="N607" i="88"/>
  <c r="N608" i="88"/>
  <c r="N609" i="88"/>
  <c r="N610" i="88"/>
  <c r="N611" i="88"/>
  <c r="N612" i="88"/>
  <c r="N613" i="88"/>
  <c r="N614" i="88"/>
  <c r="N615" i="88"/>
  <c r="N616" i="88"/>
  <c r="N617" i="88"/>
  <c r="N618" i="88"/>
  <c r="N619" i="88"/>
  <c r="N620" i="88"/>
  <c r="N621" i="88"/>
  <c r="N622" i="88"/>
  <c r="N623" i="88"/>
  <c r="N624" i="88"/>
  <c r="N625" i="88"/>
  <c r="N626" i="88"/>
  <c r="N627" i="88"/>
  <c r="N628" i="88"/>
  <c r="N629" i="88"/>
  <c r="N630" i="88"/>
  <c r="N631" i="88"/>
  <c r="N632" i="88"/>
  <c r="N633" i="88"/>
  <c r="N634" i="88"/>
  <c r="N635" i="88"/>
  <c r="N636" i="88"/>
  <c r="N637" i="88"/>
  <c r="N638" i="88"/>
  <c r="N639" i="88"/>
  <c r="N640" i="88"/>
  <c r="N641" i="88"/>
  <c r="N642" i="88"/>
  <c r="N643" i="88"/>
  <c r="N644" i="88"/>
  <c r="N645" i="88"/>
  <c r="N646" i="88"/>
  <c r="N647" i="88"/>
  <c r="N648" i="88"/>
  <c r="N649" i="88"/>
  <c r="N650" i="88"/>
  <c r="N651" i="88"/>
  <c r="N652" i="88"/>
  <c r="N653" i="88"/>
  <c r="N654" i="88"/>
  <c r="N655" i="88"/>
  <c r="N656" i="88"/>
  <c r="N657" i="88"/>
  <c r="N658" i="88"/>
  <c r="N659" i="88"/>
  <c r="N660" i="88"/>
  <c r="N661" i="88"/>
  <c r="N662" i="88"/>
  <c r="N663" i="88"/>
  <c r="N664" i="88"/>
  <c r="N665" i="88"/>
  <c r="N666" i="88"/>
  <c r="N667" i="88"/>
  <c r="N668" i="88"/>
  <c r="N669" i="88"/>
  <c r="N670" i="88"/>
  <c r="N671" i="88"/>
  <c r="N672" i="88"/>
  <c r="N673" i="88"/>
  <c r="N674" i="88"/>
  <c r="N675" i="88"/>
  <c r="N676" i="88"/>
  <c r="N677" i="88"/>
  <c r="N678" i="88"/>
  <c r="N679" i="88"/>
  <c r="N680" i="88"/>
  <c r="N681" i="88"/>
  <c r="N682" i="88"/>
  <c r="N683" i="88"/>
  <c r="N684" i="88"/>
  <c r="N685" i="88"/>
  <c r="N686" i="88"/>
  <c r="N687" i="88"/>
  <c r="N688" i="88"/>
  <c r="N689" i="88"/>
  <c r="N690" i="88"/>
  <c r="N691" i="88"/>
  <c r="N692" i="88"/>
  <c r="N693" i="88"/>
  <c r="N694" i="88"/>
  <c r="N695" i="88"/>
  <c r="N696" i="88"/>
  <c r="N697" i="88"/>
  <c r="N698" i="88"/>
  <c r="N699" i="88"/>
  <c r="N700" i="88"/>
  <c r="N701" i="88"/>
  <c r="N702" i="88"/>
  <c r="N703" i="88"/>
  <c r="N704" i="88"/>
  <c r="N705" i="88"/>
  <c r="N706" i="88"/>
  <c r="N707" i="88"/>
  <c r="N708" i="88"/>
  <c r="N709" i="88"/>
  <c r="N710" i="88"/>
  <c r="N711" i="88"/>
  <c r="N712" i="88"/>
  <c r="N713" i="88"/>
  <c r="N714" i="88"/>
  <c r="N715" i="88"/>
  <c r="N716" i="88"/>
  <c r="N717" i="88"/>
  <c r="N718" i="88"/>
  <c r="N719" i="88"/>
  <c r="N720" i="88"/>
  <c r="N721" i="88"/>
  <c r="N722" i="88"/>
  <c r="N723" i="88"/>
  <c r="N724" i="88"/>
  <c r="N725" i="88"/>
  <c r="N726" i="88"/>
  <c r="N727" i="88"/>
  <c r="N728" i="88"/>
  <c r="N729" i="88"/>
  <c r="N730" i="88"/>
  <c r="N731" i="88"/>
  <c r="N732" i="88"/>
  <c r="N733" i="88"/>
  <c r="N734" i="88"/>
  <c r="N735" i="88"/>
  <c r="N736" i="88"/>
  <c r="N737" i="88"/>
  <c r="N738" i="88"/>
  <c r="N739" i="88"/>
  <c r="N740" i="88"/>
  <c r="N741" i="88"/>
  <c r="N742" i="88"/>
  <c r="N743" i="88"/>
  <c r="N744" i="88"/>
  <c r="N745" i="88"/>
  <c r="N746" i="88"/>
  <c r="N747" i="88"/>
  <c r="N748" i="88"/>
  <c r="N749" i="88"/>
  <c r="N750" i="88"/>
  <c r="N751" i="88"/>
  <c r="N752" i="88"/>
  <c r="N753" i="88"/>
  <c r="N754" i="88"/>
  <c r="N755" i="88"/>
  <c r="N756" i="88"/>
  <c r="N757" i="88"/>
  <c r="N758" i="88"/>
  <c r="N759" i="88"/>
  <c r="N760" i="88"/>
  <c r="N761" i="88"/>
  <c r="N762" i="88"/>
  <c r="N763" i="88"/>
  <c r="N764" i="88"/>
  <c r="N765" i="88"/>
  <c r="N766" i="88"/>
  <c r="N767" i="88"/>
  <c r="N768" i="88"/>
  <c r="N769" i="88"/>
  <c r="N770" i="88"/>
  <c r="N771" i="88"/>
  <c r="N772" i="88"/>
  <c r="N773" i="88"/>
  <c r="N774" i="88"/>
  <c r="N775" i="88"/>
  <c r="N776" i="88"/>
  <c r="N777" i="88"/>
  <c r="N778" i="88"/>
  <c r="N779" i="88"/>
  <c r="N780" i="88"/>
  <c r="N781" i="88"/>
  <c r="N782" i="88"/>
  <c r="N783" i="88"/>
  <c r="N784" i="88"/>
  <c r="N785" i="88"/>
  <c r="N786" i="88"/>
  <c r="N787" i="88"/>
  <c r="N788" i="88"/>
  <c r="N789" i="88"/>
  <c r="N790" i="88"/>
  <c r="N791" i="88"/>
  <c r="N792" i="88"/>
  <c r="N793" i="88"/>
  <c r="N794" i="88"/>
  <c r="N795" i="88"/>
  <c r="N796" i="88"/>
  <c r="N797" i="88"/>
  <c r="N798" i="88"/>
  <c r="N799" i="88"/>
  <c r="N800" i="88"/>
  <c r="N801" i="88"/>
  <c r="N802" i="88"/>
  <c r="N803" i="88"/>
  <c r="N804" i="88"/>
  <c r="N805" i="88"/>
  <c r="N806" i="88"/>
  <c r="N807" i="88"/>
  <c r="N808" i="88"/>
  <c r="N809" i="88"/>
  <c r="N810" i="88"/>
  <c r="N811" i="88"/>
  <c r="N812" i="88"/>
  <c r="N813" i="88"/>
  <c r="N814" i="88"/>
  <c r="N815" i="88"/>
  <c r="N816" i="88"/>
  <c r="N817" i="88"/>
  <c r="N818" i="88"/>
  <c r="N819" i="88"/>
  <c r="N820" i="88"/>
  <c r="N821" i="88"/>
  <c r="N822" i="88"/>
  <c r="N823" i="88"/>
  <c r="N824" i="88"/>
  <c r="N825" i="88"/>
  <c r="N826" i="88"/>
  <c r="N827" i="88"/>
  <c r="N828" i="88"/>
  <c r="N829" i="88"/>
  <c r="N830" i="88"/>
  <c r="N831" i="88"/>
  <c r="N832" i="88"/>
  <c r="N833" i="88"/>
  <c r="N834" i="88"/>
  <c r="N835" i="88"/>
  <c r="N836" i="88"/>
  <c r="N837" i="88"/>
  <c r="N838" i="88"/>
  <c r="N839" i="88"/>
  <c r="N840" i="88"/>
  <c r="N841" i="88"/>
  <c r="N842" i="88"/>
  <c r="N843" i="88"/>
  <c r="N844" i="88"/>
  <c r="N845" i="88"/>
  <c r="N846" i="88"/>
  <c r="N847" i="88"/>
  <c r="N848" i="88"/>
  <c r="N849" i="88"/>
  <c r="N850" i="88"/>
  <c r="N851" i="88"/>
  <c r="N852" i="88"/>
  <c r="N853" i="88"/>
  <c r="N854" i="88"/>
  <c r="N855" i="88"/>
  <c r="N856" i="88"/>
  <c r="N857" i="88"/>
  <c r="N858" i="88"/>
  <c r="N859" i="88"/>
  <c r="N860" i="88"/>
  <c r="N861" i="88"/>
  <c r="N862" i="88"/>
  <c r="N863" i="88"/>
  <c r="N864" i="88"/>
  <c r="N865" i="88"/>
  <c r="N866" i="88"/>
  <c r="N867" i="88"/>
  <c r="N868" i="88"/>
  <c r="N869" i="88"/>
  <c r="N870" i="88"/>
  <c r="N871" i="88"/>
  <c r="N872" i="88"/>
  <c r="N873" i="88"/>
  <c r="N874" i="88"/>
  <c r="N875" i="88"/>
  <c r="N876" i="88"/>
  <c r="N877" i="88"/>
  <c r="N878" i="88"/>
  <c r="N879" i="88"/>
  <c r="N880" i="88"/>
  <c r="N881" i="88"/>
  <c r="N882" i="88"/>
  <c r="N883" i="88"/>
  <c r="N884" i="88"/>
  <c r="N885" i="88"/>
  <c r="N886" i="88"/>
  <c r="N887" i="88"/>
  <c r="N888" i="88"/>
  <c r="N889" i="88"/>
  <c r="N890" i="88"/>
  <c r="N891" i="88"/>
  <c r="N892" i="88"/>
  <c r="N893" i="88"/>
  <c r="N894" i="88"/>
  <c r="N895" i="88"/>
  <c r="N896" i="88"/>
  <c r="N897" i="88"/>
  <c r="N898" i="88"/>
  <c r="N899" i="88"/>
  <c r="N900" i="88"/>
  <c r="N901" i="88"/>
  <c r="N902" i="88"/>
  <c r="N903" i="88"/>
  <c r="N904" i="88"/>
  <c r="N905" i="88"/>
  <c r="N906" i="88"/>
  <c r="N907" i="88"/>
  <c r="N908" i="88"/>
  <c r="N909" i="88"/>
  <c r="N910" i="88"/>
  <c r="N911" i="88"/>
  <c r="N912" i="88"/>
  <c r="N913" i="88"/>
  <c r="N914" i="88"/>
  <c r="N915" i="88"/>
  <c r="N916" i="88"/>
  <c r="N917" i="88"/>
  <c r="N918" i="88"/>
  <c r="N919" i="88"/>
  <c r="N920" i="88"/>
  <c r="N921" i="88"/>
  <c r="N922" i="88"/>
  <c r="N923" i="88"/>
  <c r="N924" i="88"/>
  <c r="N925" i="88"/>
  <c r="N926" i="88"/>
  <c r="N927" i="88"/>
  <c r="N928" i="88"/>
  <c r="N929" i="88"/>
  <c r="N930" i="88"/>
  <c r="N931" i="88"/>
  <c r="N932" i="88"/>
  <c r="N933" i="88"/>
  <c r="N934" i="88"/>
  <c r="N935" i="88"/>
  <c r="N936" i="88"/>
  <c r="N937" i="88"/>
  <c r="N938" i="88"/>
  <c r="N939" i="88"/>
  <c r="N940" i="88"/>
  <c r="N941" i="88"/>
  <c r="N942" i="88"/>
  <c r="N943" i="88"/>
  <c r="N944" i="88"/>
  <c r="N945" i="88"/>
  <c r="N946" i="88"/>
  <c r="N947" i="88"/>
  <c r="N948" i="88"/>
  <c r="N949" i="88"/>
  <c r="N950" i="88"/>
  <c r="N951" i="88"/>
  <c r="N952" i="88"/>
  <c r="N953" i="88"/>
  <c r="N954" i="88"/>
  <c r="N955" i="88"/>
  <c r="N956" i="88"/>
  <c r="N957" i="88"/>
  <c r="N958" i="88"/>
  <c r="N959" i="88"/>
  <c r="N960" i="88"/>
  <c r="N961" i="88"/>
  <c r="N962" i="88"/>
  <c r="N963" i="88"/>
  <c r="N964" i="88"/>
  <c r="N965" i="88"/>
  <c r="N966" i="88"/>
  <c r="N967" i="88"/>
  <c r="N968" i="88"/>
  <c r="N969" i="88"/>
  <c r="N970" i="88"/>
  <c r="N971" i="88"/>
  <c r="N972" i="88"/>
  <c r="N973" i="88"/>
  <c r="N974" i="88"/>
  <c r="N975" i="88"/>
  <c r="N976" i="88"/>
  <c r="N977" i="88"/>
  <c r="N978" i="88"/>
  <c r="N979" i="88"/>
  <c r="N980" i="88"/>
  <c r="N981" i="88"/>
  <c r="N982" i="88"/>
  <c r="N983" i="88"/>
  <c r="N984" i="88"/>
  <c r="N985" i="88"/>
  <c r="N986" i="88"/>
  <c r="N987" i="88"/>
  <c r="N988" i="88"/>
  <c r="N989" i="88"/>
  <c r="N990" i="88"/>
  <c r="N991" i="88"/>
  <c r="N992" i="88"/>
  <c r="N993" i="88"/>
  <c r="N994" i="88"/>
  <c r="N995" i="88"/>
  <c r="N996" i="88"/>
  <c r="N997" i="88"/>
  <c r="N998" i="88"/>
  <c r="N999" i="88"/>
  <c r="N1000" i="88"/>
  <c r="N1001" i="88"/>
  <c r="N1002" i="88"/>
  <c r="N1003" i="88"/>
  <c r="N1004" i="88"/>
  <c r="N1005" i="88"/>
  <c r="N1006" i="88"/>
  <c r="N1007" i="88"/>
  <c r="N1008" i="88"/>
  <c r="N1009" i="88"/>
  <c r="N1010" i="88"/>
  <c r="N1011" i="88"/>
  <c r="N1012" i="88"/>
  <c r="N1013" i="88"/>
  <c r="N1014" i="88"/>
  <c r="N1015" i="88"/>
  <c r="N1016" i="88"/>
  <c r="N1017" i="88"/>
  <c r="N1018" i="88"/>
  <c r="N1019" i="88"/>
  <c r="N1020" i="88"/>
  <c r="N1021" i="88"/>
  <c r="N1022" i="88"/>
  <c r="N1023" i="88"/>
  <c r="N1024" i="88"/>
  <c r="N1025" i="88"/>
  <c r="N1026" i="88"/>
  <c r="N1027" i="88"/>
  <c r="N1028" i="88"/>
  <c r="N1029" i="88"/>
  <c r="N1030" i="88"/>
  <c r="N1031" i="88"/>
  <c r="N1032" i="88"/>
  <c r="N1033" i="88"/>
  <c r="N1034" i="88"/>
  <c r="N1035" i="88"/>
  <c r="N1036" i="88"/>
  <c r="N1037" i="88"/>
  <c r="N1038" i="88"/>
  <c r="N1039" i="88"/>
  <c r="N1040" i="88"/>
  <c r="N1041" i="88"/>
  <c r="N1042" i="88"/>
  <c r="N1043" i="88"/>
  <c r="N1044" i="88"/>
  <c r="N1045" i="88"/>
  <c r="N1046" i="88"/>
  <c r="N1047" i="88"/>
  <c r="N1048" i="88"/>
  <c r="N1049" i="88"/>
  <c r="N1050" i="88"/>
  <c r="N1051" i="88"/>
  <c r="N1052" i="88"/>
  <c r="N1053" i="88"/>
  <c r="N1054" i="88"/>
  <c r="N1055" i="88"/>
  <c r="N1056" i="88"/>
  <c r="N1057" i="88"/>
  <c r="N1058" i="88"/>
  <c r="N1059" i="88"/>
  <c r="N1060" i="88"/>
  <c r="N1061" i="88"/>
  <c r="N1062" i="88"/>
  <c r="N1063" i="88"/>
  <c r="N1064" i="88"/>
  <c r="N1065" i="88"/>
  <c r="N1066" i="88"/>
  <c r="N1067" i="88"/>
  <c r="N1068" i="88"/>
  <c r="N1069" i="88"/>
  <c r="N1070" i="88"/>
  <c r="N1071" i="88"/>
  <c r="N1072" i="88"/>
  <c r="N1073" i="88"/>
  <c r="N1074" i="88"/>
  <c r="N1075" i="88"/>
  <c r="N1076" i="88"/>
  <c r="N1077" i="88"/>
  <c r="N1078" i="88"/>
  <c r="N1079" i="88"/>
  <c r="N1080" i="88"/>
  <c r="N1081" i="88"/>
  <c r="N1082" i="88"/>
  <c r="N1083" i="88"/>
  <c r="N1084" i="88"/>
  <c r="N1085" i="88"/>
  <c r="N1086" i="88"/>
  <c r="N1087" i="88"/>
  <c r="N1088" i="88"/>
  <c r="N1089" i="88"/>
  <c r="N1090" i="88"/>
  <c r="N1091" i="88"/>
  <c r="N1092" i="88"/>
  <c r="N1093" i="88"/>
  <c r="N1094" i="88"/>
  <c r="N1095" i="88"/>
  <c r="N1096" i="88"/>
  <c r="N1097" i="88"/>
  <c r="N1098" i="88"/>
  <c r="N1099" i="88"/>
  <c r="N1100" i="88"/>
  <c r="N1101" i="88"/>
  <c r="N1102" i="88"/>
  <c r="N1103" i="88"/>
  <c r="N1104" i="88"/>
  <c r="N1105" i="88"/>
  <c r="N1106" i="88"/>
  <c r="N1107" i="88"/>
  <c r="N1108" i="88"/>
  <c r="N1109" i="88"/>
  <c r="N1110" i="88"/>
  <c r="N1111" i="88"/>
  <c r="N1112" i="88"/>
  <c r="N1113" i="88"/>
  <c r="N1114" i="88"/>
  <c r="N1115" i="88"/>
  <c r="N1116" i="88"/>
  <c r="N1117" i="88"/>
  <c r="N1118" i="88"/>
  <c r="N1119" i="88"/>
  <c r="N1120" i="88"/>
  <c r="N1121" i="88"/>
  <c r="N1122" i="88"/>
  <c r="N1123" i="88"/>
  <c r="N1124" i="88"/>
  <c r="N1125" i="88"/>
  <c r="N1126" i="88"/>
  <c r="N1127" i="88"/>
  <c r="N1128" i="88"/>
  <c r="N1129" i="88"/>
  <c r="N1130" i="88"/>
  <c r="N1131" i="88"/>
  <c r="N1132" i="88"/>
  <c r="N1133" i="88"/>
  <c r="N1134" i="88"/>
  <c r="N1135" i="88"/>
  <c r="N1136" i="88"/>
  <c r="N1137" i="88"/>
  <c r="N1138" i="88"/>
  <c r="N1139" i="88"/>
  <c r="N1140" i="88"/>
  <c r="N1141" i="88"/>
  <c r="N1142" i="88"/>
  <c r="K12" i="88"/>
  <c r="L12" i="88"/>
  <c r="K13" i="88"/>
  <c r="L13" i="88" s="1"/>
  <c r="K14" i="88"/>
  <c r="L14" i="88"/>
  <c r="K15" i="88"/>
  <c r="L15" i="88"/>
  <c r="K16" i="88"/>
  <c r="L16" i="88"/>
  <c r="K17" i="88"/>
  <c r="L17" i="88"/>
  <c r="K18" i="88"/>
  <c r="L18" i="88" s="1"/>
  <c r="K19" i="88"/>
  <c r="L19" i="88"/>
  <c r="K20" i="88"/>
  <c r="L20" i="88"/>
  <c r="K21" i="88"/>
  <c r="L21" i="88" s="1"/>
  <c r="K22" i="88"/>
  <c r="L22" i="88"/>
  <c r="K23" i="88"/>
  <c r="L23" i="88"/>
  <c r="K24" i="88"/>
  <c r="L24" i="88"/>
  <c r="K25" i="88"/>
  <c r="L25" i="88" s="1"/>
  <c r="K26" i="88"/>
  <c r="L26" i="88" s="1"/>
  <c r="K27" i="88"/>
  <c r="L27" i="88"/>
  <c r="K28" i="88"/>
  <c r="L28" i="88"/>
  <c r="K29" i="88"/>
  <c r="L29" i="88" s="1"/>
  <c r="K30" i="88"/>
  <c r="L30" i="88"/>
  <c r="K31" i="88"/>
  <c r="L31" i="88" s="1"/>
  <c r="K32" i="88"/>
  <c r="L32" i="88"/>
  <c r="K33" i="88"/>
  <c r="L33" i="88"/>
  <c r="K34" i="88"/>
  <c r="L34" i="88"/>
  <c r="K35" i="88"/>
  <c r="L35" i="88" s="1"/>
  <c r="K36" i="88"/>
  <c r="L36" i="88"/>
  <c r="K37" i="88"/>
  <c r="L37" i="88" s="1"/>
  <c r="K38" i="88"/>
  <c r="L38" i="88"/>
  <c r="K39" i="88"/>
  <c r="L39" i="88"/>
  <c r="K40" i="88"/>
  <c r="L40" i="88"/>
  <c r="K41" i="88"/>
  <c r="L41" i="88" s="1"/>
  <c r="K42" i="88"/>
  <c r="L42" i="88" s="1"/>
  <c r="K43" i="88"/>
  <c r="L43" i="88" s="1"/>
  <c r="K44" i="88"/>
  <c r="L44" i="88"/>
  <c r="K45" i="88"/>
  <c r="L45" i="88" s="1"/>
  <c r="K46" i="88"/>
  <c r="L46" i="88"/>
  <c r="K47" i="88"/>
  <c r="L47" i="88" s="1"/>
  <c r="K48" i="88"/>
  <c r="L48" i="88"/>
  <c r="K49" i="88"/>
  <c r="L49" i="88"/>
  <c r="K50" i="88"/>
  <c r="L50" i="88"/>
  <c r="K51" i="88"/>
  <c r="L51" i="88"/>
  <c r="K52" i="88"/>
  <c r="L52" i="88"/>
  <c r="K53" i="88"/>
  <c r="L53" i="88" s="1"/>
  <c r="K54" i="88"/>
  <c r="L54" i="88"/>
  <c r="K55" i="88"/>
  <c r="L55" i="88" s="1"/>
  <c r="K56" i="88"/>
  <c r="L56" i="88"/>
  <c r="K57" i="88"/>
  <c r="L57" i="88"/>
  <c r="K58" i="88"/>
  <c r="L58" i="88" s="1"/>
  <c r="K59" i="88"/>
  <c r="L59" i="88" s="1"/>
  <c r="K60" i="88"/>
  <c r="L60" i="88" s="1"/>
  <c r="K61" i="88"/>
  <c r="L61" i="88" s="1"/>
  <c r="K62" i="88"/>
  <c r="L62" i="88"/>
  <c r="K63" i="88"/>
  <c r="L63" i="88" s="1"/>
  <c r="K64" i="88"/>
  <c r="L64" i="88"/>
  <c r="K65" i="88"/>
  <c r="L65" i="88" s="1"/>
  <c r="K66" i="88"/>
  <c r="L66" i="88" s="1"/>
  <c r="K67" i="88"/>
  <c r="L67" i="88"/>
  <c r="K68" i="88"/>
  <c r="L68" i="88"/>
  <c r="K69" i="88"/>
  <c r="L69" i="88" s="1"/>
  <c r="K70" i="88"/>
  <c r="L70" i="88"/>
  <c r="K71" i="88"/>
  <c r="L71" i="88" s="1"/>
  <c r="K72" i="88"/>
  <c r="L72" i="88"/>
  <c r="K73" i="88"/>
  <c r="L73" i="88"/>
  <c r="K74" i="88"/>
  <c r="L74" i="88"/>
  <c r="K75" i="88"/>
  <c r="L75" i="88" s="1"/>
  <c r="K76" i="88"/>
  <c r="L76" i="88" s="1"/>
  <c r="K77" i="88"/>
  <c r="L77" i="88" s="1"/>
  <c r="K78" i="88"/>
  <c r="L78" i="88"/>
  <c r="K79" i="88"/>
  <c r="L79" i="88"/>
  <c r="K80" i="88"/>
  <c r="L80" i="88"/>
  <c r="K81" i="88"/>
  <c r="L81" i="88" s="1"/>
  <c r="K82" i="88"/>
  <c r="L82" i="88" s="1"/>
  <c r="K83" i="88"/>
  <c r="L83" i="88"/>
  <c r="K84" i="88"/>
  <c r="L84" i="88"/>
  <c r="K85" i="88"/>
  <c r="L85" i="88" s="1"/>
  <c r="K86" i="88"/>
  <c r="L86" i="88" s="1"/>
  <c r="K87" i="88"/>
  <c r="L87" i="88" s="1"/>
  <c r="K88" i="88"/>
  <c r="L88" i="88"/>
  <c r="K89" i="88"/>
  <c r="L89" i="88" s="1"/>
  <c r="K90" i="88"/>
  <c r="L90" i="88" s="1"/>
  <c r="K91" i="88"/>
  <c r="L91" i="88" s="1"/>
  <c r="K92" i="88"/>
  <c r="L92" i="88"/>
  <c r="K93" i="88"/>
  <c r="L93" i="88" s="1"/>
  <c r="K94" i="88"/>
  <c r="L94" i="88" s="1"/>
  <c r="K95" i="88"/>
  <c r="L95" i="88"/>
  <c r="K96" i="88"/>
  <c r="L96" i="88"/>
  <c r="K97" i="88"/>
  <c r="L97" i="88"/>
  <c r="K98" i="88"/>
  <c r="L98" i="88" s="1"/>
  <c r="K99" i="88"/>
  <c r="L99" i="88" s="1"/>
  <c r="K100" i="88"/>
  <c r="L100" i="88" s="1"/>
  <c r="K101" i="88"/>
  <c r="L101" i="88" s="1"/>
  <c r="K102" i="88"/>
  <c r="L102" i="88" s="1"/>
  <c r="K103" i="88"/>
  <c r="L103" i="88"/>
  <c r="K104" i="88"/>
  <c r="L104" i="88"/>
  <c r="K105" i="88"/>
  <c r="L105" i="88" s="1"/>
  <c r="K106" i="88"/>
  <c r="L106" i="88"/>
  <c r="K107" i="88"/>
  <c r="L107" i="88" s="1"/>
  <c r="K108" i="88"/>
  <c r="L108" i="88" s="1"/>
  <c r="K109" i="88"/>
  <c r="L109" i="88" s="1"/>
  <c r="K110" i="88"/>
  <c r="L110" i="88" s="1"/>
  <c r="K111" i="88"/>
  <c r="L111" i="88" s="1"/>
  <c r="K112" i="88"/>
  <c r="L112" i="88"/>
  <c r="K113" i="88"/>
  <c r="L113" i="88"/>
  <c r="K114" i="88"/>
  <c r="L114" i="88" s="1"/>
  <c r="K115" i="88"/>
  <c r="L115" i="88" s="1"/>
  <c r="K116" i="88"/>
  <c r="L116" i="88" s="1"/>
  <c r="K117" i="88"/>
  <c r="L117" i="88" s="1"/>
  <c r="K118" i="88"/>
  <c r="L118" i="88" s="1"/>
  <c r="K119" i="88"/>
  <c r="L119" i="88" s="1"/>
  <c r="K120" i="88"/>
  <c r="L120" i="88"/>
  <c r="K121" i="88"/>
  <c r="L121" i="88"/>
  <c r="K122" i="88"/>
  <c r="L122" i="88"/>
  <c r="K123" i="88"/>
  <c r="L123" i="88" s="1"/>
  <c r="K124" i="88"/>
  <c r="L124" i="88"/>
  <c r="K125" i="88"/>
  <c r="L125" i="88" s="1"/>
  <c r="K126" i="88"/>
  <c r="L126" i="88" s="1"/>
  <c r="K127" i="88"/>
  <c r="L127" i="88" s="1"/>
  <c r="K128" i="88"/>
  <c r="L128" i="88"/>
  <c r="K129" i="88"/>
  <c r="L129" i="88"/>
  <c r="K130" i="88"/>
  <c r="L130" i="88"/>
  <c r="K131" i="88"/>
  <c r="L131" i="88"/>
  <c r="K132" i="88"/>
  <c r="L132" i="88" s="1"/>
  <c r="K133" i="88"/>
  <c r="L133" i="88" s="1"/>
  <c r="K134" i="88"/>
  <c r="L134" i="88" s="1"/>
  <c r="K135" i="88"/>
  <c r="L135" i="88" s="1"/>
  <c r="K136" i="88"/>
  <c r="L136" i="88"/>
  <c r="K137" i="88"/>
  <c r="L137" i="88" s="1"/>
  <c r="K138" i="88"/>
  <c r="L138" i="88"/>
  <c r="K139" i="88"/>
  <c r="L139" i="88"/>
  <c r="K140" i="88"/>
  <c r="L140" i="88"/>
  <c r="K141" i="88"/>
  <c r="L141" i="88" s="1"/>
  <c r="K142" i="88"/>
  <c r="L142" i="88" s="1"/>
  <c r="K143" i="88"/>
  <c r="L143" i="88" s="1"/>
  <c r="K144" i="88"/>
  <c r="L144" i="88"/>
  <c r="K145" i="88"/>
  <c r="L145" i="88" s="1"/>
  <c r="K146" i="88"/>
  <c r="L146" i="88" s="1"/>
  <c r="K147" i="88"/>
  <c r="L147" i="88"/>
  <c r="K148" i="88"/>
  <c r="L148" i="88"/>
  <c r="K149" i="88"/>
  <c r="L149" i="88" s="1"/>
  <c r="K150" i="88"/>
  <c r="L150" i="88" s="1"/>
  <c r="K151" i="88"/>
  <c r="L151" i="88" s="1"/>
  <c r="K152" i="88"/>
  <c r="L152" i="88"/>
  <c r="K153" i="88"/>
  <c r="L153" i="88" s="1"/>
  <c r="K154" i="88"/>
  <c r="L154" i="88" s="1"/>
  <c r="K155" i="88"/>
  <c r="L155" i="88" s="1"/>
  <c r="K156" i="88"/>
  <c r="L156" i="88"/>
  <c r="K157" i="88"/>
  <c r="L157" i="88" s="1"/>
  <c r="K158" i="88"/>
  <c r="L158" i="88" s="1"/>
  <c r="K159" i="88"/>
  <c r="L159" i="88"/>
  <c r="K160" i="88"/>
  <c r="L160" i="88"/>
  <c r="K161" i="88"/>
  <c r="L161" i="88"/>
  <c r="K162" i="88"/>
  <c r="L162" i="88" s="1"/>
  <c r="K163" i="88"/>
  <c r="L163" i="88" s="1"/>
  <c r="K164" i="88"/>
  <c r="L164" i="88" s="1"/>
  <c r="K165" i="88"/>
  <c r="L165" i="88" s="1"/>
  <c r="K166" i="88"/>
  <c r="L166" i="88" s="1"/>
  <c r="K167" i="88"/>
  <c r="L167" i="88" s="1"/>
  <c r="K168" i="88"/>
  <c r="L168" i="88"/>
  <c r="K169" i="88"/>
  <c r="L169" i="88" s="1"/>
  <c r="K170" i="88"/>
  <c r="L170" i="88"/>
  <c r="K171" i="88"/>
  <c r="L171" i="88" s="1"/>
  <c r="K172" i="88"/>
  <c r="L172" i="88" s="1"/>
  <c r="K173" i="88"/>
  <c r="L173" i="88" s="1"/>
  <c r="K174" i="88"/>
  <c r="L174" i="88" s="1"/>
  <c r="K175" i="88"/>
  <c r="L175" i="88" s="1"/>
  <c r="K176" i="88"/>
  <c r="L176" i="88"/>
  <c r="K177" i="88"/>
  <c r="L177" i="88"/>
  <c r="K178" i="88"/>
  <c r="L178" i="88" s="1"/>
  <c r="K179" i="88"/>
  <c r="L179" i="88" s="1"/>
  <c r="K180" i="88"/>
  <c r="L180" i="88" s="1"/>
  <c r="K181" i="88"/>
  <c r="L181" i="88" s="1"/>
  <c r="K182" i="88"/>
  <c r="L182" i="88" s="1"/>
  <c r="K183" i="88"/>
  <c r="L183" i="88" s="1"/>
  <c r="K184" i="88"/>
  <c r="L184" i="88"/>
  <c r="K185" i="88"/>
  <c r="L185" i="88"/>
  <c r="K186" i="88"/>
  <c r="L186" i="88"/>
  <c r="K187" i="88"/>
  <c r="L187" i="88" s="1"/>
  <c r="K188" i="88"/>
  <c r="L188" i="88" s="1"/>
  <c r="K189" i="88"/>
  <c r="L189" i="88" s="1"/>
  <c r="K190" i="88"/>
  <c r="L190" i="88" s="1"/>
  <c r="K191" i="88"/>
  <c r="L191" i="88" s="1"/>
  <c r="K192" i="88"/>
  <c r="L192" i="88"/>
  <c r="K193" i="88"/>
  <c r="L193" i="88" s="1"/>
  <c r="K194" i="88"/>
  <c r="L194" i="88" s="1"/>
  <c r="K195" i="88"/>
  <c r="L195" i="88"/>
  <c r="K196" i="88"/>
  <c r="L196" i="88" s="1"/>
  <c r="K197" i="88"/>
  <c r="L197" i="88" s="1"/>
  <c r="K198" i="88"/>
  <c r="L198" i="88" s="1"/>
  <c r="K199" i="88"/>
  <c r="L199" i="88" s="1"/>
  <c r="K200" i="88"/>
  <c r="L200" i="88"/>
  <c r="K201" i="88"/>
  <c r="L201" i="88" s="1"/>
  <c r="K202" i="88"/>
  <c r="L202" i="88" s="1"/>
  <c r="K203" i="88"/>
  <c r="L203" i="88"/>
  <c r="K204" i="88"/>
  <c r="L204" i="88"/>
  <c r="K205" i="88"/>
  <c r="L205" i="88" s="1"/>
  <c r="K206" i="88"/>
  <c r="L206" i="88" s="1"/>
  <c r="K207" i="88"/>
  <c r="L207" i="88"/>
  <c r="K208" i="88"/>
  <c r="L208" i="88"/>
  <c r="K209" i="88"/>
  <c r="L209" i="88" s="1"/>
  <c r="K210" i="88"/>
  <c r="L210" i="88" s="1"/>
  <c r="K211" i="88"/>
  <c r="L211" i="88"/>
  <c r="K212" i="88"/>
  <c r="L212" i="88" s="1"/>
  <c r="K213" i="88"/>
  <c r="L213" i="88" s="1"/>
  <c r="K214" i="88"/>
  <c r="L214" i="88" s="1"/>
  <c r="K215" i="88"/>
  <c r="L215" i="88" s="1"/>
  <c r="K216" i="88"/>
  <c r="L216" i="88" s="1"/>
  <c r="K217" i="88"/>
  <c r="L217" i="88" s="1"/>
  <c r="K218" i="88"/>
  <c r="L218" i="88" s="1"/>
  <c r="K219" i="88"/>
  <c r="L219" i="88" s="1"/>
  <c r="K220" i="88"/>
  <c r="L220" i="88"/>
  <c r="K221" i="88"/>
  <c r="L221" i="88" s="1"/>
  <c r="K222" i="88"/>
  <c r="L222" i="88" s="1"/>
  <c r="K223" i="88"/>
  <c r="L223" i="88" s="1"/>
  <c r="K224" i="88"/>
  <c r="L224" i="88" s="1"/>
  <c r="K225" i="88"/>
  <c r="L225" i="88"/>
  <c r="K226" i="88"/>
  <c r="L226" i="88" s="1"/>
  <c r="K227" i="88"/>
  <c r="L227" i="88" s="1"/>
  <c r="K228" i="88"/>
  <c r="L228" i="88" s="1"/>
  <c r="K229" i="88"/>
  <c r="L229" i="88" s="1"/>
  <c r="K230" i="88"/>
  <c r="L230" i="88" s="1"/>
  <c r="K231" i="88"/>
  <c r="L231" i="88" s="1"/>
  <c r="K232" i="88"/>
  <c r="L232" i="88"/>
  <c r="K233" i="88"/>
  <c r="L233" i="88" s="1"/>
  <c r="K234" i="88"/>
  <c r="L234" i="88"/>
  <c r="K235" i="88"/>
  <c r="L235" i="88" s="1"/>
  <c r="K236" i="88"/>
  <c r="L236" i="88" s="1"/>
  <c r="K237" i="88"/>
  <c r="L237" i="88" s="1"/>
  <c r="K238" i="88"/>
  <c r="L238" i="88" s="1"/>
  <c r="K239" i="88"/>
  <c r="L239" i="88" s="1"/>
  <c r="K240" i="88"/>
  <c r="L240" i="88" s="1"/>
  <c r="K241" i="88"/>
  <c r="L241" i="88"/>
  <c r="K242" i="88"/>
  <c r="L242" i="88" s="1"/>
  <c r="K243" i="88"/>
  <c r="L243" i="88"/>
  <c r="K244" i="88"/>
  <c r="L244" i="88" s="1"/>
  <c r="K245" i="88"/>
  <c r="L245" i="88" s="1"/>
  <c r="K246" i="88"/>
  <c r="L246" i="88" s="1"/>
  <c r="K247" i="88"/>
  <c r="L247" i="88" s="1"/>
  <c r="K248" i="88"/>
  <c r="L248" i="88" s="1"/>
  <c r="K249" i="88"/>
  <c r="L249" i="88"/>
  <c r="K250" i="88"/>
  <c r="L250" i="88"/>
  <c r="K251" i="88"/>
  <c r="L251" i="88" s="1"/>
  <c r="K252" i="88"/>
  <c r="L252" i="88"/>
  <c r="K253" i="88"/>
  <c r="L253" i="88" s="1"/>
  <c r="K254" i="88"/>
  <c r="L254" i="88" s="1"/>
  <c r="K255" i="88"/>
  <c r="L255" i="88" s="1"/>
  <c r="K256" i="88"/>
  <c r="L256" i="88" s="1"/>
  <c r="K257" i="88"/>
  <c r="L257" i="88" s="1"/>
  <c r="K258" i="88"/>
  <c r="L258" i="88" s="1"/>
  <c r="K259" i="88"/>
  <c r="L259" i="88"/>
  <c r="K260" i="88"/>
  <c r="L260" i="88" s="1"/>
  <c r="K261" i="88"/>
  <c r="L261" i="88" s="1"/>
  <c r="K262" i="88"/>
  <c r="L262" i="88" s="1"/>
  <c r="K263" i="88"/>
  <c r="L263" i="88" s="1"/>
  <c r="K264" i="88"/>
  <c r="L264" i="88" s="1"/>
  <c r="K265" i="88"/>
  <c r="L265" i="88" s="1"/>
  <c r="K266" i="88"/>
  <c r="L266" i="88" s="1"/>
  <c r="K267" i="88"/>
  <c r="L267" i="88" s="1"/>
  <c r="K268" i="88"/>
  <c r="L268" i="88" s="1"/>
  <c r="K269" i="88"/>
  <c r="L269" i="88" s="1"/>
  <c r="K270" i="88"/>
  <c r="L270" i="88" s="1"/>
  <c r="K271" i="88"/>
  <c r="L271" i="88"/>
  <c r="K272" i="88"/>
  <c r="L272" i="88" s="1"/>
  <c r="K273" i="88"/>
  <c r="L273" i="88" s="1"/>
  <c r="K274" i="88"/>
  <c r="L274" i="88" s="1"/>
  <c r="K275" i="88"/>
  <c r="L275" i="88"/>
  <c r="K276" i="88"/>
  <c r="L276" i="88" s="1"/>
  <c r="K277" i="88"/>
  <c r="L277" i="88" s="1"/>
  <c r="K278" i="88"/>
  <c r="L278" i="88" s="1"/>
  <c r="K279" i="88"/>
  <c r="L279" i="88" s="1"/>
  <c r="K280" i="88"/>
  <c r="L280" i="88" s="1"/>
  <c r="K281" i="88"/>
  <c r="L281" i="88" s="1"/>
  <c r="K282" i="88"/>
  <c r="L282" i="88" s="1"/>
  <c r="K283" i="88"/>
  <c r="L283" i="88" s="1"/>
  <c r="K284" i="88"/>
  <c r="L284" i="88"/>
  <c r="K285" i="88"/>
  <c r="L285" i="88" s="1"/>
  <c r="K286" i="88"/>
  <c r="L286" i="88" s="1"/>
  <c r="K287" i="88"/>
  <c r="L287" i="88"/>
  <c r="K288" i="88"/>
  <c r="L288" i="88" s="1"/>
  <c r="K289" i="88"/>
  <c r="L289" i="88" s="1"/>
  <c r="K290" i="88"/>
  <c r="L290" i="88" s="1"/>
  <c r="K291" i="88"/>
  <c r="L291" i="88" s="1"/>
  <c r="K292" i="88"/>
  <c r="L292" i="88" s="1"/>
  <c r="K293" i="88"/>
  <c r="L293" i="88" s="1"/>
  <c r="K294" i="88"/>
  <c r="L294" i="88" s="1"/>
  <c r="K295" i="88"/>
  <c r="L295" i="88" s="1"/>
  <c r="K296" i="88"/>
  <c r="L296" i="88"/>
  <c r="K297" i="88"/>
  <c r="L297" i="88" s="1"/>
  <c r="K298" i="88"/>
  <c r="L298" i="88" s="1"/>
  <c r="K299" i="88"/>
  <c r="L299" i="88" s="1"/>
  <c r="K300" i="88"/>
  <c r="L300" i="88" s="1"/>
  <c r="K301" i="88"/>
  <c r="L301" i="88" s="1"/>
  <c r="K302" i="88"/>
  <c r="L302" i="88" s="1"/>
  <c r="K303" i="88"/>
  <c r="L303" i="88" s="1"/>
  <c r="K304" i="88"/>
  <c r="L304" i="88" s="1"/>
  <c r="K305" i="88"/>
  <c r="L305" i="88" s="1"/>
  <c r="K306" i="88"/>
  <c r="L306" i="88" s="1"/>
  <c r="K307" i="88"/>
  <c r="L307" i="88"/>
  <c r="K308" i="88"/>
  <c r="L308" i="88" s="1"/>
  <c r="K309" i="88"/>
  <c r="L309" i="88" s="1"/>
  <c r="K310" i="88"/>
  <c r="L310" i="88" s="1"/>
  <c r="K311" i="88"/>
  <c r="L311" i="88" s="1"/>
  <c r="K312" i="88"/>
  <c r="L312" i="88" s="1"/>
  <c r="K313" i="88"/>
  <c r="L313" i="88"/>
  <c r="K314" i="88"/>
  <c r="L314" i="88" s="1"/>
  <c r="K315" i="88"/>
  <c r="L315" i="88" s="1"/>
  <c r="K316" i="88"/>
  <c r="L316" i="88" s="1"/>
  <c r="K317" i="88"/>
  <c r="L317" i="88" s="1"/>
  <c r="K318" i="88"/>
  <c r="L318" i="88" s="1"/>
  <c r="K319" i="88"/>
  <c r="L319" i="88" s="1"/>
  <c r="K320" i="88"/>
  <c r="L320" i="88" s="1"/>
  <c r="K321" i="88"/>
  <c r="L321" i="88" s="1"/>
  <c r="K322" i="88"/>
  <c r="L322" i="88"/>
  <c r="K323" i="88"/>
  <c r="L323" i="88" s="1"/>
  <c r="K324" i="88"/>
  <c r="L324" i="88" s="1"/>
  <c r="K325" i="88"/>
  <c r="L325" i="88" s="1"/>
  <c r="K326" i="88"/>
  <c r="L326" i="88" s="1"/>
  <c r="K327" i="88"/>
  <c r="L327" i="88" s="1"/>
  <c r="K328" i="88"/>
  <c r="L328" i="88" s="1"/>
  <c r="K329" i="88"/>
  <c r="L329" i="88" s="1"/>
  <c r="K330" i="88"/>
  <c r="L330" i="88"/>
  <c r="K331" i="88"/>
  <c r="L331" i="88" s="1"/>
  <c r="K332" i="88"/>
  <c r="L332" i="88" s="1"/>
  <c r="K333" i="88"/>
  <c r="L333" i="88" s="1"/>
  <c r="K334" i="88"/>
  <c r="L334" i="88" s="1"/>
  <c r="K335" i="88"/>
  <c r="L335" i="88" s="1"/>
  <c r="K336" i="88"/>
  <c r="L336" i="88" s="1"/>
  <c r="K337" i="88"/>
  <c r="L337" i="88" s="1"/>
  <c r="K338" i="88"/>
  <c r="L338" i="88" s="1"/>
  <c r="K339" i="88"/>
  <c r="L339" i="88"/>
  <c r="K340" i="88"/>
  <c r="L340" i="88" s="1"/>
  <c r="K341" i="88"/>
  <c r="L341" i="88" s="1"/>
  <c r="K342" i="88"/>
  <c r="L342" i="88" s="1"/>
  <c r="K343" i="88"/>
  <c r="L343" i="88" s="1"/>
  <c r="K344" i="88"/>
  <c r="L344" i="88" s="1"/>
  <c r="K345" i="88"/>
  <c r="L345" i="88" s="1"/>
  <c r="K346" i="88"/>
  <c r="L346" i="88" s="1"/>
  <c r="K347" i="88"/>
  <c r="L347" i="88" s="1"/>
  <c r="K348" i="88"/>
  <c r="L348" i="88"/>
  <c r="K349" i="88"/>
  <c r="L349" i="88" s="1"/>
  <c r="K350" i="88"/>
  <c r="L350" i="88" s="1"/>
  <c r="K351" i="88"/>
  <c r="L351" i="88"/>
  <c r="K352" i="88"/>
  <c r="L352" i="88" s="1"/>
  <c r="K353" i="88"/>
  <c r="L353" i="88"/>
  <c r="K354" i="88"/>
  <c r="L354" i="88" s="1"/>
  <c r="K355" i="88"/>
  <c r="L355" i="88" s="1"/>
  <c r="K356" i="88"/>
  <c r="L356" i="88" s="1"/>
  <c r="K357" i="88"/>
  <c r="L357" i="88" s="1"/>
  <c r="K358" i="88"/>
  <c r="L358" i="88" s="1"/>
  <c r="K359" i="88"/>
  <c r="L359" i="88" s="1"/>
  <c r="K360" i="88"/>
  <c r="L360" i="88"/>
  <c r="K361" i="88"/>
  <c r="L361" i="88" s="1"/>
  <c r="K362" i="88"/>
  <c r="L362" i="88" s="1"/>
  <c r="K363" i="88"/>
  <c r="L363" i="88" s="1"/>
  <c r="K364" i="88"/>
  <c r="L364" i="88" s="1"/>
  <c r="K365" i="88"/>
  <c r="L365" i="88" s="1"/>
  <c r="K366" i="88"/>
  <c r="L366" i="88" s="1"/>
  <c r="K367" i="88"/>
  <c r="L367" i="88" s="1"/>
  <c r="K368" i="88"/>
  <c r="L368" i="88" s="1"/>
  <c r="K369" i="88"/>
  <c r="L369" i="88"/>
  <c r="K370" i="88"/>
  <c r="L370" i="88" s="1"/>
  <c r="K371" i="88"/>
  <c r="L371" i="88"/>
  <c r="K372" i="88"/>
  <c r="L372" i="88" s="1"/>
  <c r="K373" i="88"/>
  <c r="L373" i="88" s="1"/>
  <c r="K374" i="88"/>
  <c r="L374" i="88"/>
  <c r="K375" i="88"/>
  <c r="L375" i="88"/>
  <c r="K376" i="88"/>
  <c r="L376" i="88" s="1"/>
  <c r="K377" i="88"/>
  <c r="L377" i="88" s="1"/>
  <c r="K378" i="88"/>
  <c r="L378" i="88"/>
  <c r="K379" i="88"/>
  <c r="L379" i="88"/>
  <c r="K380" i="88"/>
  <c r="L380" i="88" s="1"/>
  <c r="K381" i="88"/>
  <c r="L381" i="88" s="1"/>
  <c r="K382" i="88"/>
  <c r="L382" i="88" s="1"/>
  <c r="K383" i="88"/>
  <c r="L383" i="88" s="1"/>
  <c r="K384" i="88"/>
  <c r="L384" i="88" s="1"/>
  <c r="K385" i="88"/>
  <c r="L385" i="88"/>
  <c r="K386" i="88"/>
  <c r="L386" i="88"/>
  <c r="K387" i="88"/>
  <c r="L387" i="88" s="1"/>
  <c r="K388" i="88"/>
  <c r="L388" i="88"/>
  <c r="K389" i="88"/>
  <c r="L389" i="88" s="1"/>
  <c r="K390" i="88"/>
  <c r="L390" i="88" s="1"/>
  <c r="K391" i="88"/>
  <c r="L391" i="88"/>
  <c r="K392" i="88"/>
  <c r="L392" i="88"/>
  <c r="K393" i="88"/>
  <c r="L393" i="88" s="1"/>
  <c r="K394" i="88"/>
  <c r="L394" i="88"/>
  <c r="K395" i="88"/>
  <c r="L395" i="88" s="1"/>
  <c r="K396" i="88"/>
  <c r="L396" i="88"/>
  <c r="K397" i="88"/>
  <c r="L397" i="88" s="1"/>
  <c r="K398" i="88"/>
  <c r="L398" i="88"/>
  <c r="K399" i="88"/>
  <c r="L399" i="88" s="1"/>
  <c r="K400" i="88"/>
  <c r="L400" i="88" s="1"/>
  <c r="K401" i="88"/>
  <c r="L401" i="88" s="1"/>
  <c r="K402" i="88"/>
  <c r="L402" i="88"/>
  <c r="K403" i="88"/>
  <c r="L403" i="88" s="1"/>
  <c r="K404" i="88"/>
  <c r="L404" i="88" s="1"/>
  <c r="K405" i="88"/>
  <c r="L405" i="88" s="1"/>
  <c r="K406" i="88"/>
  <c r="L406" i="88"/>
  <c r="K407" i="88"/>
  <c r="L407" i="88"/>
  <c r="K408" i="88"/>
  <c r="L408" i="88"/>
  <c r="K409" i="88"/>
  <c r="L409" i="88"/>
  <c r="K410" i="88"/>
  <c r="L410" i="88" s="1"/>
  <c r="K411" i="88"/>
  <c r="L411" i="88"/>
  <c r="K412" i="88"/>
  <c r="L412" i="88" s="1"/>
  <c r="K413" i="88"/>
  <c r="L413" i="88" s="1"/>
  <c r="K414" i="88"/>
  <c r="L414" i="88" s="1"/>
  <c r="K415" i="88"/>
  <c r="L415" i="88" s="1"/>
  <c r="K416" i="88"/>
  <c r="L416" i="88" s="1"/>
  <c r="K417" i="88"/>
  <c r="L417" i="88" s="1"/>
  <c r="K418" i="88"/>
  <c r="L418" i="88" s="1"/>
  <c r="K419" i="88"/>
  <c r="L419" i="88" s="1"/>
  <c r="K420" i="88"/>
  <c r="L420" i="88" s="1"/>
  <c r="K421" i="88"/>
  <c r="L421" i="88" s="1"/>
  <c r="K422" i="88"/>
  <c r="L422" i="88"/>
  <c r="K423" i="88"/>
  <c r="L423" i="88"/>
  <c r="K424" i="88"/>
  <c r="L424" i="88"/>
  <c r="K425" i="88"/>
  <c r="L425" i="88"/>
  <c r="K426" i="88"/>
  <c r="L426" i="88"/>
  <c r="K427" i="88"/>
  <c r="L427" i="88"/>
  <c r="K428" i="88"/>
  <c r="L428" i="88" s="1"/>
  <c r="K429" i="88"/>
  <c r="L429" i="88" s="1"/>
  <c r="K430" i="88"/>
  <c r="L430" i="88" s="1"/>
  <c r="K431" i="88"/>
  <c r="L431" i="88" s="1"/>
  <c r="K432" i="88"/>
  <c r="L432" i="88"/>
  <c r="K433" i="88"/>
  <c r="L433" i="88" s="1"/>
  <c r="K434" i="88"/>
  <c r="L434" i="88" s="1"/>
  <c r="K435" i="88"/>
  <c r="L435" i="88"/>
  <c r="K436" i="88"/>
  <c r="L436" i="88"/>
  <c r="K437" i="88"/>
  <c r="L437" i="88" s="1"/>
  <c r="K438" i="88"/>
  <c r="L438" i="88" s="1"/>
  <c r="K439" i="88"/>
  <c r="L439" i="88"/>
  <c r="K440" i="88"/>
  <c r="L440" i="88" s="1"/>
  <c r="K441" i="88"/>
  <c r="L441" i="88"/>
  <c r="K442" i="88"/>
  <c r="L442" i="88"/>
  <c r="K443" i="88"/>
  <c r="L443" i="88"/>
  <c r="K444" i="88"/>
  <c r="L444" i="88"/>
  <c r="K445" i="88"/>
  <c r="L445" i="88" s="1"/>
  <c r="K446" i="88"/>
  <c r="L446" i="88"/>
  <c r="K447" i="88"/>
  <c r="L447" i="88" s="1"/>
  <c r="K448" i="88"/>
  <c r="L448" i="88" s="1"/>
  <c r="K449" i="88"/>
  <c r="L449" i="88" s="1"/>
  <c r="K450" i="88"/>
  <c r="L450" i="88" s="1"/>
  <c r="K451" i="88"/>
  <c r="L451" i="88" s="1"/>
  <c r="K452" i="88"/>
  <c r="L452" i="88" s="1"/>
  <c r="K453" i="88"/>
  <c r="L453" i="88" s="1"/>
  <c r="K454" i="88"/>
  <c r="L454" i="88"/>
  <c r="K455" i="88"/>
  <c r="L455" i="88" s="1"/>
  <c r="K456" i="88"/>
  <c r="L456" i="88"/>
  <c r="K457" i="88"/>
  <c r="L457" i="88" s="1"/>
  <c r="K458" i="88"/>
  <c r="L458" i="88" s="1"/>
  <c r="K459" i="88"/>
  <c r="L459" i="88" s="1"/>
  <c r="K460" i="88"/>
  <c r="L460" i="88" s="1"/>
  <c r="K461" i="88"/>
  <c r="L461" i="88"/>
  <c r="K462" i="88"/>
  <c r="L462" i="88"/>
  <c r="K463" i="88"/>
  <c r="L463" i="88" s="1"/>
  <c r="K464" i="88"/>
  <c r="L464" i="88"/>
  <c r="K465" i="88"/>
  <c r="L465" i="88" s="1"/>
  <c r="K466" i="88"/>
  <c r="L466" i="88" s="1"/>
  <c r="K467" i="88"/>
  <c r="L467" i="88" s="1"/>
  <c r="K468" i="88"/>
  <c r="L468" i="88" s="1"/>
  <c r="K469" i="88"/>
  <c r="L469" i="88" s="1"/>
  <c r="K470" i="88"/>
  <c r="L470" i="88"/>
  <c r="K471" i="88"/>
  <c r="L471" i="88" s="1"/>
  <c r="K472" i="88"/>
  <c r="L472" i="88"/>
  <c r="K473" i="88"/>
  <c r="L473" i="88"/>
  <c r="K474" i="88"/>
  <c r="L474" i="88" s="1"/>
  <c r="K475" i="88"/>
  <c r="L475" i="88" s="1"/>
  <c r="K476" i="88"/>
  <c r="L476" i="88"/>
  <c r="K477" i="88"/>
  <c r="L477" i="88" s="1"/>
  <c r="K478" i="88"/>
  <c r="L478" i="88"/>
  <c r="K479" i="88"/>
  <c r="L479" i="88" s="1"/>
  <c r="K480" i="88"/>
  <c r="L480" i="88"/>
  <c r="K481" i="88"/>
  <c r="L481" i="88" s="1"/>
  <c r="K482" i="88"/>
  <c r="L482" i="88" s="1"/>
  <c r="K483" i="88"/>
  <c r="L483" i="88" s="1"/>
  <c r="K484" i="88"/>
  <c r="L484" i="88"/>
  <c r="K485" i="88"/>
  <c r="L485" i="88" s="1"/>
  <c r="K486" i="88"/>
  <c r="L486" i="88" s="1"/>
  <c r="K487" i="88"/>
  <c r="L487" i="88" s="1"/>
  <c r="K488" i="88"/>
  <c r="L488" i="88"/>
  <c r="K489" i="88"/>
  <c r="L489" i="88" s="1"/>
  <c r="K490" i="88"/>
  <c r="L490" i="88" s="1"/>
  <c r="K491" i="88"/>
  <c r="L491" i="88" s="1"/>
  <c r="K492" i="88"/>
  <c r="L492" i="88"/>
  <c r="K493" i="88"/>
  <c r="L493" i="88"/>
  <c r="K494" i="88"/>
  <c r="L494" i="88"/>
  <c r="K495" i="88"/>
  <c r="L495" i="88" s="1"/>
  <c r="K496" i="88"/>
  <c r="L496" i="88" s="1"/>
  <c r="K497" i="88"/>
  <c r="L497" i="88" s="1"/>
  <c r="K498" i="88"/>
  <c r="L498" i="88" s="1"/>
  <c r="K499" i="88"/>
  <c r="L499" i="88" s="1"/>
  <c r="K500" i="88"/>
  <c r="L500" i="88"/>
  <c r="K501" i="88"/>
  <c r="L501" i="88" s="1"/>
  <c r="K502" i="88"/>
  <c r="L502" i="88" s="1"/>
  <c r="K503" i="88"/>
  <c r="L503" i="88" s="1"/>
  <c r="K504" i="88"/>
  <c r="L504" i="88"/>
  <c r="K505" i="88"/>
  <c r="L505" i="88"/>
  <c r="K506" i="88"/>
  <c r="L506" i="88" s="1"/>
  <c r="K507" i="88"/>
  <c r="L507" i="88" s="1"/>
  <c r="K508" i="88"/>
  <c r="L508" i="88"/>
  <c r="K509" i="88"/>
  <c r="L509" i="88" s="1"/>
  <c r="K510" i="88"/>
  <c r="L510" i="88"/>
  <c r="K511" i="88"/>
  <c r="L511" i="88" s="1"/>
  <c r="K512" i="88"/>
  <c r="L512" i="88" s="1"/>
  <c r="K513" i="88"/>
  <c r="L513" i="88"/>
  <c r="K514" i="88"/>
  <c r="L514" i="88" s="1"/>
  <c r="K515" i="88"/>
  <c r="L515" i="88" s="1"/>
  <c r="K516" i="88"/>
  <c r="L516" i="88" s="1"/>
  <c r="K517" i="88"/>
  <c r="L517" i="88" s="1"/>
  <c r="K518" i="88"/>
  <c r="L518" i="88" s="1"/>
  <c r="K519" i="88"/>
  <c r="L519" i="88" s="1"/>
  <c r="K520" i="88"/>
  <c r="L520" i="88"/>
  <c r="K521" i="88"/>
  <c r="L521" i="88"/>
  <c r="K522" i="88"/>
  <c r="L522" i="88" s="1"/>
  <c r="K523" i="88"/>
  <c r="L523" i="88" s="1"/>
  <c r="K524" i="88"/>
  <c r="L524" i="88" s="1"/>
  <c r="K525" i="88"/>
  <c r="L525" i="88"/>
  <c r="K526" i="88"/>
  <c r="L526" i="88" s="1"/>
  <c r="K527" i="88"/>
  <c r="L527" i="88" s="1"/>
  <c r="K528" i="88"/>
  <c r="L528" i="88" s="1"/>
  <c r="K529" i="88"/>
  <c r="L529" i="88"/>
  <c r="K530" i="88"/>
  <c r="L530" i="88" s="1"/>
  <c r="K531" i="88"/>
  <c r="L531" i="88" s="1"/>
  <c r="K532" i="88"/>
  <c r="L532" i="88" s="1"/>
  <c r="K533" i="88"/>
  <c r="L533" i="88"/>
  <c r="K534" i="88"/>
  <c r="L534" i="88" s="1"/>
  <c r="K535" i="88"/>
  <c r="L535" i="88" s="1"/>
  <c r="K536" i="88"/>
  <c r="L536" i="88" s="1"/>
  <c r="K537" i="88"/>
  <c r="L537" i="88"/>
  <c r="K538" i="88"/>
  <c r="L538" i="88" s="1"/>
  <c r="K539" i="88"/>
  <c r="L539" i="88" s="1"/>
  <c r="K540" i="88"/>
  <c r="L540" i="88"/>
  <c r="K541" i="88"/>
  <c r="L541" i="88"/>
  <c r="K542" i="88"/>
  <c r="L542" i="88"/>
  <c r="K543" i="88"/>
  <c r="L543" i="88" s="1"/>
  <c r="K544" i="88"/>
  <c r="L544" i="88" s="1"/>
  <c r="K545" i="88"/>
  <c r="L545" i="88" s="1"/>
  <c r="K546" i="88"/>
  <c r="L546" i="88" s="1"/>
  <c r="K547" i="88"/>
  <c r="L547" i="88" s="1"/>
  <c r="K548" i="88"/>
  <c r="L548" i="88" s="1"/>
  <c r="K549" i="88"/>
  <c r="L549" i="88"/>
  <c r="K550" i="88"/>
  <c r="L550" i="88" s="1"/>
  <c r="K551" i="88"/>
  <c r="L551" i="88" s="1"/>
  <c r="K552" i="88"/>
  <c r="L552" i="88"/>
  <c r="K553" i="88"/>
  <c r="L553" i="88" s="1"/>
  <c r="K554" i="88"/>
  <c r="L554" i="88" s="1"/>
  <c r="K555" i="88"/>
  <c r="L555" i="88" s="1"/>
  <c r="K556" i="88"/>
  <c r="L556" i="88" s="1"/>
  <c r="K557" i="88"/>
  <c r="L557" i="88"/>
  <c r="K558" i="88"/>
  <c r="L558" i="88" s="1"/>
  <c r="K559" i="88"/>
  <c r="L559" i="88" s="1"/>
  <c r="K560" i="88"/>
  <c r="L560" i="88" s="1"/>
  <c r="K561" i="88"/>
  <c r="L561" i="88" s="1"/>
  <c r="K562" i="88"/>
  <c r="L562" i="88" s="1"/>
  <c r="K563" i="88"/>
  <c r="L563" i="88" s="1"/>
  <c r="K564" i="88"/>
  <c r="L564" i="88" s="1"/>
  <c r="K565" i="88"/>
  <c r="L565" i="88" s="1"/>
  <c r="K566" i="88"/>
  <c r="L566" i="88" s="1"/>
  <c r="K567" i="88"/>
  <c r="L567" i="88" s="1"/>
  <c r="K568" i="88"/>
  <c r="L568" i="88" s="1"/>
  <c r="K569" i="88"/>
  <c r="L569" i="88"/>
  <c r="K570" i="88"/>
  <c r="L570" i="88" s="1"/>
  <c r="K571" i="88"/>
  <c r="L571" i="88" s="1"/>
  <c r="K572" i="88"/>
  <c r="L572" i="88"/>
  <c r="K573" i="88"/>
  <c r="L573" i="88"/>
  <c r="K574" i="88"/>
  <c r="L574" i="88"/>
  <c r="K575" i="88"/>
  <c r="L575" i="88" s="1"/>
  <c r="K576" i="88"/>
  <c r="L576" i="88" s="1"/>
  <c r="K577" i="88"/>
  <c r="L577" i="88" s="1"/>
  <c r="K578" i="88"/>
  <c r="L578" i="88" s="1"/>
  <c r="K579" i="88"/>
  <c r="L579" i="88" s="1"/>
  <c r="K580" i="88"/>
  <c r="L580" i="88" s="1"/>
  <c r="K581" i="88"/>
  <c r="L581" i="88" s="1"/>
  <c r="K582" i="88"/>
  <c r="L582" i="88"/>
  <c r="K583" i="88"/>
  <c r="L583" i="88" s="1"/>
  <c r="K584" i="88"/>
  <c r="L584" i="88"/>
  <c r="K585" i="88"/>
  <c r="L585" i="88" s="1"/>
  <c r="K586" i="88"/>
  <c r="L586" i="88" s="1"/>
  <c r="K587" i="88"/>
  <c r="L587" i="88" s="1"/>
  <c r="K588" i="88"/>
  <c r="L588" i="88" s="1"/>
  <c r="K589" i="88"/>
  <c r="L589" i="88"/>
  <c r="K590" i="88"/>
  <c r="L590" i="88"/>
  <c r="K591" i="88"/>
  <c r="L591" i="88" s="1"/>
  <c r="K592" i="88"/>
  <c r="L592" i="88"/>
  <c r="K593" i="88"/>
  <c r="L593" i="88" s="1"/>
  <c r="K594" i="88"/>
  <c r="L594" i="88" s="1"/>
  <c r="K595" i="88"/>
  <c r="L595" i="88" s="1"/>
  <c r="K596" i="88"/>
  <c r="L596" i="88" s="1"/>
  <c r="K597" i="88"/>
  <c r="L597" i="88" s="1"/>
  <c r="K598" i="88"/>
  <c r="L598" i="88"/>
  <c r="K599" i="88"/>
  <c r="L599" i="88" s="1"/>
  <c r="K600" i="88"/>
  <c r="L600" i="88"/>
  <c r="K601" i="88"/>
  <c r="L601" i="88"/>
  <c r="K602" i="88"/>
  <c r="L602" i="88" s="1"/>
  <c r="K603" i="88"/>
  <c r="L603" i="88" s="1"/>
  <c r="K604" i="88"/>
  <c r="L604" i="88"/>
  <c r="K605" i="88"/>
  <c r="L605" i="88" s="1"/>
  <c r="K606" i="88"/>
  <c r="L606" i="88"/>
  <c r="K607" i="88"/>
  <c r="L607" i="88" s="1"/>
  <c r="K608" i="88"/>
  <c r="L608" i="88"/>
  <c r="K609" i="88"/>
  <c r="L609" i="88" s="1"/>
  <c r="K610" i="88"/>
  <c r="L610" i="88" s="1"/>
  <c r="K611" i="88"/>
  <c r="L611" i="88" s="1"/>
  <c r="K612" i="88"/>
  <c r="L612" i="88"/>
  <c r="K613" i="88"/>
  <c r="L613" i="88" s="1"/>
  <c r="K614" i="88"/>
  <c r="L614" i="88" s="1"/>
  <c r="K615" i="88"/>
  <c r="L615" i="88" s="1"/>
  <c r="K616" i="88"/>
  <c r="L616" i="88"/>
  <c r="K617" i="88"/>
  <c r="L617" i="88" s="1"/>
  <c r="K618" i="88"/>
  <c r="L618" i="88" s="1"/>
  <c r="K619" i="88"/>
  <c r="L619" i="88" s="1"/>
  <c r="K620" i="88"/>
  <c r="L620" i="88"/>
  <c r="K621" i="88"/>
  <c r="L621" i="88"/>
  <c r="K622" i="88"/>
  <c r="L622" i="88" s="1"/>
  <c r="K623" i="88"/>
  <c r="L623" i="88" s="1"/>
  <c r="K624" i="88"/>
  <c r="L624" i="88" s="1"/>
  <c r="K625" i="88"/>
  <c r="L625" i="88" s="1"/>
  <c r="K626" i="88"/>
  <c r="L626" i="88" s="1"/>
  <c r="K627" i="88"/>
  <c r="L627" i="88" s="1"/>
  <c r="K628" i="88"/>
  <c r="L628" i="88"/>
  <c r="K629" i="88"/>
  <c r="L629" i="88" s="1"/>
  <c r="K630" i="88"/>
  <c r="L630" i="88" s="1"/>
  <c r="K631" i="88"/>
  <c r="L631" i="88" s="1"/>
  <c r="K632" i="88"/>
  <c r="L632" i="88"/>
  <c r="K633" i="88"/>
  <c r="L633" i="88"/>
  <c r="K634" i="88"/>
  <c r="L634" i="88" s="1"/>
  <c r="K635" i="88"/>
  <c r="L635" i="88" s="1"/>
  <c r="K636" i="88"/>
  <c r="L636" i="88"/>
  <c r="K637" i="88"/>
  <c r="L637" i="88" s="1"/>
  <c r="K638" i="88"/>
  <c r="L638" i="88"/>
  <c r="K639" i="88"/>
  <c r="L639" i="88" s="1"/>
  <c r="K640" i="88"/>
  <c r="L640" i="88" s="1"/>
  <c r="K641" i="88"/>
  <c r="L641" i="88"/>
  <c r="K642" i="88"/>
  <c r="L642" i="88" s="1"/>
  <c r="K643" i="88"/>
  <c r="L643" i="88" s="1"/>
  <c r="K644" i="88"/>
  <c r="L644" i="88" s="1"/>
  <c r="K645" i="88"/>
  <c r="L645" i="88" s="1"/>
  <c r="K646" i="88"/>
  <c r="L646" i="88" s="1"/>
  <c r="K647" i="88"/>
  <c r="L647" i="88" s="1"/>
  <c r="K648" i="88"/>
  <c r="L648" i="88"/>
  <c r="K649" i="88"/>
  <c r="L649" i="88"/>
  <c r="K650" i="88"/>
  <c r="L650" i="88" s="1"/>
  <c r="K651" i="88"/>
  <c r="L651" i="88" s="1"/>
  <c r="K652" i="88"/>
  <c r="L652" i="88" s="1"/>
  <c r="K653" i="88"/>
  <c r="L653" i="88"/>
  <c r="K654" i="88"/>
  <c r="L654" i="88" s="1"/>
  <c r="K655" i="88"/>
  <c r="L655" i="88" s="1"/>
  <c r="K656" i="88"/>
  <c r="L656" i="88" s="1"/>
  <c r="K657" i="88"/>
  <c r="L657" i="88"/>
  <c r="K658" i="88"/>
  <c r="L658" i="88" s="1"/>
  <c r="K659" i="88"/>
  <c r="L659" i="88" s="1"/>
  <c r="K660" i="88"/>
  <c r="L660" i="88" s="1"/>
  <c r="K661" i="88"/>
  <c r="L661" i="88"/>
  <c r="K662" i="88"/>
  <c r="L662" i="88" s="1"/>
  <c r="K663" i="88"/>
  <c r="L663" i="88" s="1"/>
  <c r="K664" i="88"/>
  <c r="L664" i="88" s="1"/>
  <c r="K665" i="88"/>
  <c r="L665" i="88"/>
  <c r="K666" i="88"/>
  <c r="L666" i="88" s="1"/>
  <c r="K667" i="88"/>
  <c r="L667" i="88" s="1"/>
  <c r="K668" i="88"/>
  <c r="L668" i="88"/>
  <c r="K669" i="88"/>
  <c r="L669" i="88"/>
  <c r="K670" i="88"/>
  <c r="L670" i="88"/>
  <c r="K671" i="88"/>
  <c r="L671" i="88" s="1"/>
  <c r="K672" i="88"/>
  <c r="L672" i="88" s="1"/>
  <c r="K673" i="88"/>
  <c r="L673" i="88" s="1"/>
  <c r="K674" i="88"/>
  <c r="L674" i="88" s="1"/>
  <c r="K675" i="88"/>
  <c r="L675" i="88" s="1"/>
  <c r="K676" i="88"/>
  <c r="L676" i="88" s="1"/>
  <c r="K677" i="88"/>
  <c r="L677" i="88"/>
  <c r="K678" i="88"/>
  <c r="L678" i="88" s="1"/>
  <c r="K679" i="88"/>
  <c r="L679" i="88" s="1"/>
  <c r="K680" i="88"/>
  <c r="L680" i="88"/>
  <c r="K681" i="88"/>
  <c r="L681" i="88"/>
  <c r="K682" i="88"/>
  <c r="L682" i="88" s="1"/>
  <c r="K683" i="88"/>
  <c r="L683" i="88" s="1"/>
  <c r="K684" i="88"/>
  <c r="L684" i="88" s="1"/>
  <c r="K685" i="88"/>
  <c r="L685" i="88"/>
  <c r="K686" i="88"/>
  <c r="L686" i="88" s="1"/>
  <c r="K687" i="88"/>
  <c r="L687" i="88" s="1"/>
  <c r="K688" i="88"/>
  <c r="L688" i="88" s="1"/>
  <c r="K689" i="88"/>
  <c r="L689" i="88" s="1"/>
  <c r="K690" i="88"/>
  <c r="L690" i="88" s="1"/>
  <c r="K691" i="88"/>
  <c r="L691" i="88" s="1"/>
  <c r="K692" i="88"/>
  <c r="L692" i="88" s="1"/>
  <c r="K693" i="88"/>
  <c r="L693" i="88" s="1"/>
  <c r="K694" i="88"/>
  <c r="L694" i="88" s="1"/>
  <c r="K695" i="88"/>
  <c r="L695" i="88" s="1"/>
  <c r="K696" i="88"/>
  <c r="L696" i="88" s="1"/>
  <c r="K697" i="88"/>
  <c r="L697" i="88"/>
  <c r="K698" i="88"/>
  <c r="L698" i="88" s="1"/>
  <c r="K699" i="88"/>
  <c r="L699" i="88" s="1"/>
  <c r="K700" i="88"/>
  <c r="L700" i="88"/>
  <c r="K701" i="88"/>
  <c r="L701" i="88" s="1"/>
  <c r="K702" i="88"/>
  <c r="L702" i="88"/>
  <c r="K703" i="88"/>
  <c r="L703" i="88" s="1"/>
  <c r="K704" i="88"/>
  <c r="L704" i="88" s="1"/>
  <c r="K705" i="88"/>
  <c r="L705" i="88" s="1"/>
  <c r="K706" i="88"/>
  <c r="L706" i="88" s="1"/>
  <c r="K707" i="88"/>
  <c r="L707" i="88" s="1"/>
  <c r="K708" i="88"/>
  <c r="L708" i="88" s="1"/>
  <c r="K709" i="88"/>
  <c r="L709" i="88" s="1"/>
  <c r="K710" i="88"/>
  <c r="L710" i="88"/>
  <c r="K711" i="88"/>
  <c r="L711" i="88" s="1"/>
  <c r="K712" i="88"/>
  <c r="L712" i="88"/>
  <c r="K713" i="88"/>
  <c r="L713" i="88" s="1"/>
  <c r="K714" i="88"/>
  <c r="L714" i="88" s="1"/>
  <c r="K715" i="88"/>
  <c r="L715" i="88" s="1"/>
  <c r="K716" i="88"/>
  <c r="L716" i="88" s="1"/>
  <c r="K717" i="88"/>
  <c r="L717" i="88"/>
  <c r="K718" i="88"/>
  <c r="L718" i="88"/>
  <c r="K719" i="88"/>
  <c r="L719" i="88" s="1"/>
  <c r="K720" i="88"/>
  <c r="L720" i="88"/>
  <c r="K721" i="88"/>
  <c r="L721" i="88" s="1"/>
  <c r="K722" i="88"/>
  <c r="L722" i="88" s="1"/>
  <c r="K723" i="88"/>
  <c r="L723" i="88" s="1"/>
  <c r="K724" i="88"/>
  <c r="L724" i="88" s="1"/>
  <c r="K725" i="88"/>
  <c r="L725" i="88" s="1"/>
  <c r="K726" i="88"/>
  <c r="L726" i="88"/>
  <c r="K727" i="88"/>
  <c r="L727" i="88" s="1"/>
  <c r="K728" i="88"/>
  <c r="L728" i="88"/>
  <c r="K729" i="88"/>
  <c r="L729" i="88"/>
  <c r="K730" i="88"/>
  <c r="L730" i="88" s="1"/>
  <c r="K731" i="88"/>
  <c r="L731" i="88" s="1"/>
  <c r="K732" i="88"/>
  <c r="L732" i="88"/>
  <c r="K733" i="88"/>
  <c r="L733" i="88" s="1"/>
  <c r="K734" i="88"/>
  <c r="L734" i="88"/>
  <c r="K735" i="88"/>
  <c r="L735" i="88" s="1"/>
  <c r="K736" i="88"/>
  <c r="L736" i="88"/>
  <c r="K737" i="88"/>
  <c r="L737" i="88" s="1"/>
  <c r="K738" i="88"/>
  <c r="L738" i="88" s="1"/>
  <c r="K739" i="88"/>
  <c r="L739" i="88" s="1"/>
  <c r="K740" i="88"/>
  <c r="L740" i="88"/>
  <c r="K741" i="88"/>
  <c r="L741" i="88" s="1"/>
  <c r="K742" i="88"/>
  <c r="L742" i="88" s="1"/>
  <c r="K743" i="88"/>
  <c r="L743" i="88" s="1"/>
  <c r="K744" i="88"/>
  <c r="L744" i="88"/>
  <c r="K745" i="88"/>
  <c r="L745" i="88" s="1"/>
  <c r="K746" i="88"/>
  <c r="L746" i="88" s="1"/>
  <c r="K747" i="88"/>
  <c r="L747" i="88" s="1"/>
  <c r="K748" i="88"/>
  <c r="L748" i="88"/>
  <c r="K749" i="88"/>
  <c r="L749" i="88"/>
  <c r="K750" i="88"/>
  <c r="L750" i="88"/>
  <c r="K751" i="88"/>
  <c r="L751" i="88" s="1"/>
  <c r="K752" i="88"/>
  <c r="L752" i="88" s="1"/>
  <c r="K753" i="88"/>
  <c r="L753" i="88" s="1"/>
  <c r="K754" i="88"/>
  <c r="L754" i="88" s="1"/>
  <c r="K755" i="88"/>
  <c r="L755" i="88" s="1"/>
  <c r="K756" i="88"/>
  <c r="L756" i="88"/>
  <c r="K757" i="88"/>
  <c r="L757" i="88" s="1"/>
  <c r="K758" i="88"/>
  <c r="L758" i="88" s="1"/>
  <c r="K759" i="88"/>
  <c r="L759" i="88" s="1"/>
  <c r="K760" i="88"/>
  <c r="L760" i="88"/>
  <c r="K761" i="88"/>
  <c r="L761" i="88"/>
  <c r="K762" i="88"/>
  <c r="L762" i="88" s="1"/>
  <c r="K763" i="88"/>
  <c r="L763" i="88" s="1"/>
  <c r="K764" i="88"/>
  <c r="L764" i="88" s="1"/>
  <c r="K765" i="88"/>
  <c r="L765" i="88"/>
  <c r="K766" i="88"/>
  <c r="L766" i="88" s="1"/>
  <c r="K767" i="88"/>
  <c r="L767" i="88" s="1"/>
  <c r="K768" i="88"/>
  <c r="L768" i="88"/>
  <c r="K769" i="88"/>
  <c r="L769" i="88" s="1"/>
  <c r="K770" i="88"/>
  <c r="L770" i="88"/>
  <c r="K771" i="88"/>
  <c r="L771" i="88" s="1"/>
  <c r="K772" i="88"/>
  <c r="L772" i="88" s="1"/>
  <c r="K773" i="88"/>
  <c r="L773" i="88" s="1"/>
  <c r="K774" i="88"/>
  <c r="L774" i="88"/>
  <c r="K775" i="88"/>
  <c r="L775" i="88" s="1"/>
  <c r="K776" i="88"/>
  <c r="L776" i="88"/>
  <c r="K777" i="88"/>
  <c r="L777" i="88"/>
  <c r="K778" i="88"/>
  <c r="L778" i="88" s="1"/>
  <c r="K779" i="88"/>
  <c r="L779" i="88" s="1"/>
  <c r="K780" i="88"/>
  <c r="L780" i="88" s="1"/>
  <c r="K781" i="88"/>
  <c r="L781" i="88" s="1"/>
  <c r="K782" i="88"/>
  <c r="L782" i="88" s="1"/>
  <c r="K783" i="88"/>
  <c r="L783" i="88" s="1"/>
  <c r="K784" i="88"/>
  <c r="L784" i="88"/>
  <c r="K785" i="88"/>
  <c r="L785" i="88"/>
  <c r="K786" i="88"/>
  <c r="L786" i="88" s="1"/>
  <c r="K787" i="88"/>
  <c r="L787" i="88" s="1"/>
  <c r="K788" i="88"/>
  <c r="L788" i="88" s="1"/>
  <c r="K789" i="88"/>
  <c r="L789" i="88" s="1"/>
  <c r="K790" i="88"/>
  <c r="L790" i="88" s="1"/>
  <c r="K791" i="88"/>
  <c r="L791" i="88" s="1"/>
  <c r="K792" i="88"/>
  <c r="L792" i="88"/>
  <c r="K793" i="88"/>
  <c r="L793" i="88"/>
  <c r="K794" i="88"/>
  <c r="L794" i="88"/>
  <c r="K795" i="88"/>
  <c r="L795" i="88" s="1"/>
  <c r="K796" i="88"/>
  <c r="L796" i="88"/>
  <c r="K797" i="88"/>
  <c r="L797" i="88" s="1"/>
  <c r="K798" i="88"/>
  <c r="L798" i="88" s="1"/>
  <c r="K799" i="88"/>
  <c r="L799" i="88" s="1"/>
  <c r="K800" i="88"/>
  <c r="L800" i="88"/>
  <c r="K801" i="88"/>
  <c r="L801" i="88" s="1"/>
  <c r="K802" i="88"/>
  <c r="L802" i="88"/>
  <c r="K803" i="88"/>
  <c r="L803" i="88" s="1"/>
  <c r="K804" i="88"/>
  <c r="L804" i="88" s="1"/>
  <c r="K805" i="88"/>
  <c r="L805" i="88"/>
  <c r="K806" i="88"/>
  <c r="L806" i="88" s="1"/>
  <c r="K807" i="88"/>
  <c r="L807" i="88" s="1"/>
  <c r="K808" i="88"/>
  <c r="L808" i="88" s="1"/>
  <c r="K809" i="88"/>
  <c r="L809" i="88"/>
  <c r="K810" i="88"/>
  <c r="L810" i="88" s="1"/>
  <c r="K811" i="88"/>
  <c r="L811" i="88" s="1"/>
  <c r="K812" i="88"/>
  <c r="L812" i="88" s="1"/>
  <c r="K813" i="88"/>
  <c r="L813" i="88" s="1"/>
  <c r="K814" i="88"/>
  <c r="L814" i="88"/>
  <c r="K815" i="88"/>
  <c r="L815" i="88" s="1"/>
  <c r="K816" i="88"/>
  <c r="L816" i="88"/>
  <c r="K817" i="88"/>
  <c r="L817" i="88" s="1"/>
  <c r="K818" i="88"/>
  <c r="L818" i="88"/>
  <c r="K819" i="88"/>
  <c r="L819" i="88" s="1"/>
  <c r="K820" i="88"/>
  <c r="L820" i="88"/>
  <c r="K821" i="88"/>
  <c r="L821" i="88" s="1"/>
  <c r="K822" i="88"/>
  <c r="L822" i="88" s="1"/>
  <c r="K823" i="88"/>
  <c r="L823" i="88" s="1"/>
  <c r="K824" i="88"/>
  <c r="L824" i="88"/>
  <c r="K825" i="88"/>
  <c r="L825" i="88"/>
  <c r="K826" i="88"/>
  <c r="L826" i="88" s="1"/>
  <c r="K827" i="88"/>
  <c r="L827" i="88" s="1"/>
  <c r="K828" i="88"/>
  <c r="L828" i="88" s="1"/>
  <c r="K829" i="88"/>
  <c r="L829" i="88"/>
  <c r="K830" i="88"/>
  <c r="L830" i="88" s="1"/>
  <c r="K831" i="88"/>
  <c r="L831" i="88" s="1"/>
  <c r="K832" i="88"/>
  <c r="L832" i="88"/>
  <c r="K833" i="88"/>
  <c r="L833" i="88" s="1"/>
  <c r="K834" i="88"/>
  <c r="L834" i="88" s="1"/>
  <c r="K835" i="88"/>
  <c r="L835" i="88" s="1"/>
  <c r="K836" i="88"/>
  <c r="L836" i="88" s="1"/>
  <c r="K837" i="88"/>
  <c r="L837" i="88"/>
  <c r="K838" i="88"/>
  <c r="L838" i="88" s="1"/>
  <c r="K839" i="88"/>
  <c r="L839" i="88" s="1"/>
  <c r="K840" i="88"/>
  <c r="L840" i="88"/>
  <c r="K841" i="88"/>
  <c r="L841" i="88" s="1"/>
  <c r="K842" i="88"/>
  <c r="L842" i="88" s="1"/>
  <c r="K843" i="88"/>
  <c r="L843" i="88" s="1"/>
  <c r="K844" i="88"/>
  <c r="L844" i="88" s="1"/>
  <c r="K845" i="88"/>
  <c r="L845" i="88"/>
  <c r="K846" i="88"/>
  <c r="L846" i="88" s="1"/>
  <c r="K847" i="88"/>
  <c r="L847" i="88" s="1"/>
  <c r="K848" i="88"/>
  <c r="L848" i="88"/>
  <c r="K849" i="88"/>
  <c r="L849" i="88" s="1"/>
  <c r="K850" i="88"/>
  <c r="L850" i="88" s="1"/>
  <c r="K851" i="88"/>
  <c r="L851" i="88" s="1"/>
  <c r="K852" i="88"/>
  <c r="L852" i="88" s="1"/>
  <c r="K853" i="88"/>
  <c r="L853" i="88"/>
  <c r="K854" i="88"/>
  <c r="L854" i="88" s="1"/>
  <c r="K855" i="88"/>
  <c r="L855" i="88" s="1"/>
  <c r="K856" i="88"/>
  <c r="L856" i="88"/>
  <c r="K857" i="88"/>
  <c r="L857" i="88" s="1"/>
  <c r="K858" i="88"/>
  <c r="L858" i="88" s="1"/>
  <c r="K859" i="88"/>
  <c r="L859" i="88" s="1"/>
  <c r="K860" i="88"/>
  <c r="L860" i="88" s="1"/>
  <c r="K861" i="88"/>
  <c r="L861" i="88"/>
  <c r="K862" i="88"/>
  <c r="L862" i="88" s="1"/>
  <c r="K863" i="88"/>
  <c r="L863" i="88" s="1"/>
  <c r="K864" i="88"/>
  <c r="L864" i="88"/>
  <c r="K865" i="88"/>
  <c r="L865" i="88" s="1"/>
  <c r="K866" i="88"/>
  <c r="L866" i="88" s="1"/>
  <c r="K867" i="88"/>
  <c r="L867" i="88" s="1"/>
  <c r="K868" i="88"/>
  <c r="L868" i="88" s="1"/>
  <c r="K869" i="88"/>
  <c r="L869" i="88"/>
  <c r="K870" i="88"/>
  <c r="L870" i="88" s="1"/>
  <c r="K871" i="88"/>
  <c r="L871" i="88" s="1"/>
  <c r="K872" i="88"/>
  <c r="L872" i="88"/>
  <c r="K873" i="88"/>
  <c r="L873" i="88" s="1"/>
  <c r="K874" i="88"/>
  <c r="L874" i="88" s="1"/>
  <c r="K875" i="88"/>
  <c r="L875" i="88" s="1"/>
  <c r="K876" i="88"/>
  <c r="L876" i="88" s="1"/>
  <c r="K877" i="88"/>
  <c r="L877" i="88"/>
  <c r="K878" i="88"/>
  <c r="L878" i="88" s="1"/>
  <c r="K879" i="88"/>
  <c r="L879" i="88" s="1"/>
  <c r="K880" i="88"/>
  <c r="L880" i="88"/>
  <c r="K881" i="88"/>
  <c r="L881" i="88" s="1"/>
  <c r="K882" i="88"/>
  <c r="L882" i="88" s="1"/>
  <c r="K883" i="88"/>
  <c r="L883" i="88" s="1"/>
  <c r="K884" i="88"/>
  <c r="L884" i="88" s="1"/>
  <c r="K885" i="88"/>
  <c r="L885" i="88"/>
  <c r="K886" i="88"/>
  <c r="L886" i="88" s="1"/>
  <c r="K887" i="88"/>
  <c r="L887" i="88" s="1"/>
  <c r="K888" i="88"/>
  <c r="L888" i="88"/>
  <c r="K889" i="88"/>
  <c r="L889" i="88" s="1"/>
  <c r="K890" i="88"/>
  <c r="L890" i="88" s="1"/>
  <c r="K891" i="88"/>
  <c r="L891" i="88" s="1"/>
  <c r="K892" i="88"/>
  <c r="L892" i="88" s="1"/>
  <c r="K893" i="88"/>
  <c r="L893" i="88"/>
  <c r="K894" i="88"/>
  <c r="L894" i="88" s="1"/>
  <c r="K895" i="88"/>
  <c r="L895" i="88" s="1"/>
  <c r="K896" i="88"/>
  <c r="L896" i="88"/>
  <c r="K897" i="88"/>
  <c r="L897" i="88" s="1"/>
  <c r="K898" i="88"/>
  <c r="L898" i="88" s="1"/>
  <c r="K899" i="88"/>
  <c r="L899" i="88" s="1"/>
  <c r="K900" i="88"/>
  <c r="L900" i="88" s="1"/>
  <c r="K901" i="88"/>
  <c r="L901" i="88"/>
  <c r="K902" i="88"/>
  <c r="L902" i="88" s="1"/>
  <c r="K903" i="88"/>
  <c r="L903" i="88" s="1"/>
  <c r="K904" i="88"/>
  <c r="L904" i="88"/>
  <c r="K905" i="88"/>
  <c r="L905" i="88" s="1"/>
  <c r="K906" i="88"/>
  <c r="L906" i="88" s="1"/>
  <c r="K907" i="88"/>
  <c r="L907" i="88" s="1"/>
  <c r="K908" i="88"/>
  <c r="L908" i="88" s="1"/>
  <c r="K909" i="88"/>
  <c r="L909" i="88"/>
  <c r="K910" i="88"/>
  <c r="L910" i="88" s="1"/>
  <c r="K911" i="88"/>
  <c r="L911" i="88" s="1"/>
  <c r="K912" i="88"/>
  <c r="L912" i="88"/>
  <c r="K913" i="88"/>
  <c r="L913" i="88" s="1"/>
  <c r="K914" i="88"/>
  <c r="L914" i="88" s="1"/>
  <c r="K915" i="88"/>
  <c r="L915" i="88" s="1"/>
  <c r="K916" i="88"/>
  <c r="L916" i="88" s="1"/>
  <c r="K917" i="88"/>
  <c r="L917" i="88"/>
  <c r="K918" i="88"/>
  <c r="L918" i="88" s="1"/>
  <c r="K919" i="88"/>
  <c r="L919" i="88" s="1"/>
  <c r="K920" i="88"/>
  <c r="L920" i="88"/>
  <c r="K921" i="88"/>
  <c r="L921" i="88" s="1"/>
  <c r="K922" i="88"/>
  <c r="L922" i="88" s="1"/>
  <c r="K923" i="88"/>
  <c r="L923" i="88" s="1"/>
  <c r="K924" i="88"/>
  <c r="L924" i="88" s="1"/>
  <c r="K925" i="88"/>
  <c r="L925" i="88"/>
  <c r="K926" i="88"/>
  <c r="L926" i="88" s="1"/>
  <c r="K927" i="88"/>
  <c r="L927" i="88" s="1"/>
  <c r="K928" i="88"/>
  <c r="L928" i="88"/>
  <c r="K929" i="88"/>
  <c r="L929" i="88" s="1"/>
  <c r="K930" i="88"/>
  <c r="L930" i="88" s="1"/>
  <c r="K931" i="88"/>
  <c r="L931" i="88" s="1"/>
  <c r="K932" i="88"/>
  <c r="L932" i="88" s="1"/>
  <c r="K933" i="88"/>
  <c r="L933" i="88"/>
  <c r="K934" i="88"/>
  <c r="L934" i="88" s="1"/>
  <c r="K935" i="88"/>
  <c r="L935" i="88" s="1"/>
  <c r="K936" i="88"/>
  <c r="L936" i="88"/>
  <c r="K937" i="88"/>
  <c r="L937" i="88" s="1"/>
  <c r="K938" i="88"/>
  <c r="L938" i="88" s="1"/>
  <c r="K939" i="88"/>
  <c r="L939" i="88" s="1"/>
  <c r="K940" i="88"/>
  <c r="L940" i="88" s="1"/>
  <c r="K941" i="88"/>
  <c r="L941" i="88"/>
  <c r="K942" i="88"/>
  <c r="L942" i="88" s="1"/>
  <c r="K943" i="88"/>
  <c r="L943" i="88" s="1"/>
  <c r="K944" i="88"/>
  <c r="L944" i="88"/>
  <c r="K945" i="88"/>
  <c r="L945" i="88" s="1"/>
  <c r="K946" i="88"/>
  <c r="L946" i="88" s="1"/>
  <c r="K947" i="88"/>
  <c r="L947" i="88" s="1"/>
  <c r="K948" i="88"/>
  <c r="L948" i="88" s="1"/>
  <c r="K949" i="88"/>
  <c r="L949" i="88"/>
  <c r="K950" i="88"/>
  <c r="L950" i="88" s="1"/>
  <c r="K951" i="88"/>
  <c r="L951" i="88" s="1"/>
  <c r="K952" i="88"/>
  <c r="L952" i="88"/>
  <c r="K953" i="88"/>
  <c r="L953" i="88" s="1"/>
  <c r="K954" i="88"/>
  <c r="L954" i="88" s="1"/>
  <c r="K955" i="88"/>
  <c r="L955" i="88" s="1"/>
  <c r="K956" i="88"/>
  <c r="L956" i="88" s="1"/>
  <c r="K957" i="88"/>
  <c r="L957" i="88"/>
  <c r="K958" i="88"/>
  <c r="L958" i="88" s="1"/>
  <c r="K959" i="88"/>
  <c r="L959" i="88" s="1"/>
  <c r="K960" i="88"/>
  <c r="L960" i="88"/>
  <c r="K961" i="88"/>
  <c r="L961" i="88" s="1"/>
  <c r="K962" i="88"/>
  <c r="L962" i="88" s="1"/>
  <c r="K963" i="88"/>
  <c r="L963" i="88" s="1"/>
  <c r="K964" i="88"/>
  <c r="L964" i="88" s="1"/>
  <c r="K965" i="88"/>
  <c r="L965" i="88"/>
  <c r="K966" i="88"/>
  <c r="L966" i="88" s="1"/>
  <c r="K967" i="88"/>
  <c r="L967" i="88" s="1"/>
  <c r="K968" i="88"/>
  <c r="L968" i="88"/>
  <c r="K969" i="88"/>
  <c r="L969" i="88" s="1"/>
  <c r="K970" i="88"/>
  <c r="L970" i="88" s="1"/>
  <c r="K971" i="88"/>
  <c r="L971" i="88" s="1"/>
  <c r="K972" i="88"/>
  <c r="L972" i="88" s="1"/>
  <c r="K973" i="88"/>
  <c r="L973" i="88"/>
  <c r="K974" i="88"/>
  <c r="L974" i="88" s="1"/>
  <c r="K975" i="88"/>
  <c r="L975" i="88" s="1"/>
  <c r="K976" i="88"/>
  <c r="L976" i="88"/>
  <c r="K977" i="88"/>
  <c r="L977" i="88" s="1"/>
  <c r="K978" i="88"/>
  <c r="L978" i="88" s="1"/>
  <c r="K979" i="88"/>
  <c r="L979" i="88" s="1"/>
  <c r="K980" i="88"/>
  <c r="L980" i="88" s="1"/>
  <c r="K981" i="88"/>
  <c r="L981" i="88"/>
  <c r="K982" i="88"/>
  <c r="L982" i="88" s="1"/>
  <c r="K983" i="88"/>
  <c r="L983" i="88" s="1"/>
  <c r="K984" i="88"/>
  <c r="L984" i="88"/>
  <c r="K985" i="88"/>
  <c r="L985" i="88" s="1"/>
  <c r="K986" i="88"/>
  <c r="L986" i="88" s="1"/>
  <c r="K987" i="88"/>
  <c r="L987" i="88" s="1"/>
  <c r="K988" i="88"/>
  <c r="L988" i="88" s="1"/>
  <c r="K989" i="88"/>
  <c r="L989" i="88"/>
  <c r="K990" i="88"/>
  <c r="L990" i="88" s="1"/>
  <c r="K991" i="88"/>
  <c r="L991" i="88" s="1"/>
  <c r="K992" i="88"/>
  <c r="L992" i="88"/>
  <c r="K993" i="88"/>
  <c r="L993" i="88" s="1"/>
  <c r="K994" i="88"/>
  <c r="L994" i="88" s="1"/>
  <c r="K995" i="88"/>
  <c r="L995" i="88" s="1"/>
  <c r="K996" i="88"/>
  <c r="L996" i="88" s="1"/>
  <c r="K997" i="88"/>
  <c r="L997" i="88"/>
  <c r="K998" i="88"/>
  <c r="L998" i="88" s="1"/>
  <c r="K999" i="88"/>
  <c r="L999" i="88" s="1"/>
  <c r="K1000" i="88"/>
  <c r="L1000" i="88"/>
  <c r="K1001" i="88"/>
  <c r="L1001" i="88" s="1"/>
  <c r="K1002" i="88"/>
  <c r="L1002" i="88" s="1"/>
  <c r="K1003" i="88"/>
  <c r="L1003" i="88" s="1"/>
  <c r="K1004" i="88"/>
  <c r="L1004" i="88" s="1"/>
  <c r="K1005" i="88"/>
  <c r="L1005" i="88"/>
  <c r="K1006" i="88"/>
  <c r="L1006" i="88" s="1"/>
  <c r="K1007" i="88"/>
  <c r="L1007" i="88" s="1"/>
  <c r="K1008" i="88"/>
  <c r="L1008" i="88"/>
  <c r="K1009" i="88"/>
  <c r="L1009" i="88" s="1"/>
  <c r="K1010" i="88"/>
  <c r="L1010" i="88" s="1"/>
  <c r="K1011" i="88"/>
  <c r="L1011" i="88" s="1"/>
  <c r="K1012" i="88"/>
  <c r="L1012" i="88" s="1"/>
  <c r="K1013" i="88"/>
  <c r="L1013" i="88"/>
  <c r="K1014" i="88"/>
  <c r="L1014" i="88" s="1"/>
  <c r="K1015" i="88"/>
  <c r="L1015" i="88" s="1"/>
  <c r="K1016" i="88"/>
  <c r="L1016" i="88"/>
  <c r="K1017" i="88"/>
  <c r="L1017" i="88" s="1"/>
  <c r="K1018" i="88"/>
  <c r="L1018" i="88" s="1"/>
  <c r="K1019" i="88"/>
  <c r="L1019" i="88" s="1"/>
  <c r="K1020" i="88"/>
  <c r="L1020" i="88" s="1"/>
  <c r="K1021" i="88"/>
  <c r="L1021" i="88"/>
  <c r="K1022" i="88"/>
  <c r="L1022" i="88" s="1"/>
  <c r="K1023" i="88"/>
  <c r="L1023" i="88" s="1"/>
  <c r="K1024" i="88"/>
  <c r="L1024" i="88"/>
  <c r="K1025" i="88"/>
  <c r="L1025" i="88" s="1"/>
  <c r="K1026" i="88"/>
  <c r="L1026" i="88" s="1"/>
  <c r="K1027" i="88"/>
  <c r="L1027" i="88" s="1"/>
  <c r="K1028" i="88"/>
  <c r="L1028" i="88" s="1"/>
  <c r="K1029" i="88"/>
  <c r="L1029" i="88"/>
  <c r="K1030" i="88"/>
  <c r="L1030" i="88" s="1"/>
  <c r="K1031" i="88"/>
  <c r="L1031" i="88" s="1"/>
  <c r="K1032" i="88"/>
  <c r="L1032" i="88"/>
  <c r="K1033" i="88"/>
  <c r="L1033" i="88" s="1"/>
  <c r="K1034" i="88"/>
  <c r="L1034" i="88" s="1"/>
  <c r="K1035" i="88"/>
  <c r="L1035" i="88" s="1"/>
  <c r="K1036" i="88"/>
  <c r="L1036" i="88" s="1"/>
  <c r="K1037" i="88"/>
  <c r="L1037" i="88"/>
  <c r="K1038" i="88"/>
  <c r="L1038" i="88" s="1"/>
  <c r="K1039" i="88"/>
  <c r="L1039" i="88" s="1"/>
  <c r="K1040" i="88"/>
  <c r="L1040" i="88"/>
  <c r="K1041" i="88"/>
  <c r="L1041" i="88" s="1"/>
  <c r="K1042" i="88"/>
  <c r="L1042" i="88" s="1"/>
  <c r="K1043" i="88"/>
  <c r="L1043" i="88" s="1"/>
  <c r="K1044" i="88"/>
  <c r="L1044" i="88" s="1"/>
  <c r="K1045" i="88"/>
  <c r="L1045" i="88"/>
  <c r="K1046" i="88"/>
  <c r="L1046" i="88" s="1"/>
  <c r="K1047" i="88"/>
  <c r="L1047" i="88" s="1"/>
  <c r="K1048" i="88"/>
  <c r="L1048" i="88"/>
  <c r="K1049" i="88"/>
  <c r="L1049" i="88" s="1"/>
  <c r="K1050" i="88"/>
  <c r="L1050" i="88" s="1"/>
  <c r="K1051" i="88"/>
  <c r="L1051" i="88" s="1"/>
  <c r="K1052" i="88"/>
  <c r="L1052" i="88" s="1"/>
  <c r="K1053" i="88"/>
  <c r="L1053" i="88"/>
  <c r="K1054" i="88"/>
  <c r="L1054" i="88" s="1"/>
  <c r="K1055" i="88"/>
  <c r="L1055" i="88" s="1"/>
  <c r="K1056" i="88"/>
  <c r="L1056" i="88"/>
  <c r="K1057" i="88"/>
  <c r="L1057" i="88" s="1"/>
  <c r="K1058" i="88"/>
  <c r="L1058" i="88" s="1"/>
  <c r="K1059" i="88"/>
  <c r="L1059" i="88" s="1"/>
  <c r="K1060" i="88"/>
  <c r="L1060" i="88" s="1"/>
  <c r="K1061" i="88"/>
  <c r="L1061" i="88"/>
  <c r="K1062" i="88"/>
  <c r="L1062" i="88" s="1"/>
  <c r="K1063" i="88"/>
  <c r="L1063" i="88" s="1"/>
  <c r="K1064" i="88"/>
  <c r="L1064" i="88"/>
  <c r="K1065" i="88"/>
  <c r="L1065" i="88" s="1"/>
  <c r="K1066" i="88"/>
  <c r="L1066" i="88" s="1"/>
  <c r="K1067" i="88"/>
  <c r="L1067" i="88" s="1"/>
  <c r="K1068" i="88"/>
  <c r="L1068" i="88" s="1"/>
  <c r="K1069" i="88"/>
  <c r="L1069" i="88"/>
  <c r="K1070" i="88"/>
  <c r="L1070" i="88" s="1"/>
  <c r="K1071" i="88"/>
  <c r="L1071" i="88" s="1"/>
  <c r="K1072" i="88"/>
  <c r="L1072" i="88"/>
  <c r="K1073" i="88"/>
  <c r="L1073" i="88" s="1"/>
  <c r="K1074" i="88"/>
  <c r="L1074" i="88" s="1"/>
  <c r="K1075" i="88"/>
  <c r="L1075" i="88" s="1"/>
  <c r="K1076" i="88"/>
  <c r="L1076" i="88" s="1"/>
  <c r="K1077" i="88"/>
  <c r="L1077" i="88"/>
  <c r="K1078" i="88"/>
  <c r="L1078" i="88" s="1"/>
  <c r="K1079" i="88"/>
  <c r="L1079" i="88" s="1"/>
  <c r="K1080" i="88"/>
  <c r="L1080" i="88"/>
  <c r="K1081" i="88"/>
  <c r="L1081" i="88" s="1"/>
  <c r="K1082" i="88"/>
  <c r="L1082" i="88" s="1"/>
  <c r="K1083" i="88"/>
  <c r="L1083" i="88" s="1"/>
  <c r="K1084" i="88"/>
  <c r="L1084" i="88" s="1"/>
  <c r="K1085" i="88"/>
  <c r="L1085" i="88"/>
  <c r="K1086" i="88"/>
  <c r="L1086" i="88" s="1"/>
  <c r="K1087" i="88"/>
  <c r="L1087" i="88" s="1"/>
  <c r="K1088" i="88"/>
  <c r="L1088" i="88"/>
  <c r="K1089" i="88"/>
  <c r="L1089" i="88" s="1"/>
  <c r="K1090" i="88"/>
  <c r="L1090" i="88" s="1"/>
  <c r="K1091" i="88"/>
  <c r="L1091" i="88" s="1"/>
  <c r="K1092" i="88"/>
  <c r="L1092" i="88" s="1"/>
  <c r="K1093" i="88"/>
  <c r="L1093" i="88"/>
  <c r="K1094" i="88"/>
  <c r="L1094" i="88" s="1"/>
  <c r="K1095" i="88"/>
  <c r="L1095" i="88" s="1"/>
  <c r="K1096" i="88"/>
  <c r="L1096" i="88"/>
  <c r="K1097" i="88"/>
  <c r="L1097" i="88" s="1"/>
  <c r="K1098" i="88"/>
  <c r="L1098" i="88" s="1"/>
  <c r="K1099" i="88"/>
  <c r="L1099" i="88" s="1"/>
  <c r="K1100" i="88"/>
  <c r="L1100" i="88" s="1"/>
  <c r="K1101" i="88"/>
  <c r="L1101" i="88"/>
  <c r="K1102" i="88"/>
  <c r="L1102" i="88" s="1"/>
  <c r="K1103" i="88"/>
  <c r="L1103" i="88" s="1"/>
  <c r="K1104" i="88"/>
  <c r="L1104" i="88"/>
  <c r="K1105" i="88"/>
  <c r="L1105" i="88" s="1"/>
  <c r="K1106" i="88"/>
  <c r="L1106" i="88" s="1"/>
  <c r="K1107" i="88"/>
  <c r="L1107" i="88" s="1"/>
  <c r="K1108" i="88"/>
  <c r="L1108" i="88" s="1"/>
  <c r="K1109" i="88"/>
  <c r="L1109" i="88"/>
  <c r="K1110" i="88"/>
  <c r="L1110" i="88" s="1"/>
  <c r="K1111" i="88"/>
  <c r="L1111" i="88" s="1"/>
  <c r="K1112" i="88"/>
  <c r="L1112" i="88"/>
  <c r="K1113" i="88"/>
  <c r="L1113" i="88" s="1"/>
  <c r="K1114" i="88"/>
  <c r="L1114" i="88" s="1"/>
  <c r="K1115" i="88"/>
  <c r="L1115" i="88" s="1"/>
  <c r="K1116" i="88"/>
  <c r="L1116" i="88" s="1"/>
  <c r="K1117" i="88"/>
  <c r="L1117" i="88"/>
  <c r="K1118" i="88"/>
  <c r="L1118" i="88" s="1"/>
  <c r="K1119" i="88"/>
  <c r="L1119" i="88" s="1"/>
  <c r="K1120" i="88"/>
  <c r="L1120" i="88"/>
  <c r="K1121" i="88"/>
  <c r="L1121" i="88" s="1"/>
  <c r="K1122" i="88"/>
  <c r="L1122" i="88" s="1"/>
  <c r="K1123" i="88"/>
  <c r="L1123" i="88" s="1"/>
  <c r="K1124" i="88"/>
  <c r="L1124" i="88" s="1"/>
  <c r="K1125" i="88"/>
  <c r="L1125" i="88"/>
  <c r="K1126" i="88"/>
  <c r="L1126" i="88" s="1"/>
  <c r="K1127" i="88"/>
  <c r="L1127" i="88" s="1"/>
  <c r="K1128" i="88"/>
  <c r="L1128" i="88"/>
  <c r="K1129" i="88"/>
  <c r="L1129" i="88" s="1"/>
  <c r="K1130" i="88"/>
  <c r="L1130" i="88" s="1"/>
  <c r="K1131" i="88"/>
  <c r="L1131" i="88" s="1"/>
  <c r="K1132" i="88"/>
  <c r="L1132" i="88" s="1"/>
  <c r="K1133" i="88"/>
  <c r="L1133" i="88"/>
  <c r="K1134" i="88"/>
  <c r="L1134" i="88" s="1"/>
  <c r="K1135" i="88"/>
  <c r="L1135" i="88" s="1"/>
  <c r="K1136" i="88"/>
  <c r="L1136" i="88"/>
  <c r="K1137" i="88"/>
  <c r="L1137" i="88" s="1"/>
  <c r="K1138" i="88"/>
  <c r="L1138" i="88" s="1"/>
  <c r="K1139" i="88"/>
  <c r="L1139" i="88" s="1"/>
  <c r="K1140" i="88"/>
  <c r="L1140" i="88" s="1"/>
  <c r="K1141" i="88"/>
  <c r="L1141" i="88"/>
  <c r="K1142" i="88"/>
  <c r="L1142" i="88" s="1"/>
  <c r="P10" i="88"/>
  <c r="Q10" i="88"/>
  <c r="P11" i="88"/>
  <c r="Q11" i="88"/>
  <c r="P12" i="88"/>
  <c r="Q12" i="88"/>
  <c r="G13" i="88"/>
  <c r="P13" i="88"/>
  <c r="Q13" i="88"/>
  <c r="G14" i="88"/>
  <c r="P14" i="88"/>
  <c r="Q14" i="88"/>
  <c r="G15" i="88"/>
  <c r="P15" i="88"/>
  <c r="Q15" i="88"/>
  <c r="G16" i="88"/>
  <c r="P16" i="88"/>
  <c r="Q16" i="88"/>
  <c r="P17" i="88"/>
  <c r="Q17" i="88"/>
  <c r="P18" i="88"/>
  <c r="Q18" i="88"/>
  <c r="P19" i="88"/>
  <c r="Q19" i="88"/>
  <c r="P20" i="88"/>
  <c r="Q20" i="88"/>
  <c r="P21" i="88"/>
  <c r="Q21" i="88"/>
  <c r="P22" i="88"/>
  <c r="Q22" i="88"/>
  <c r="P23" i="88"/>
  <c r="Q23" i="88"/>
  <c r="P24" i="88"/>
  <c r="Q24" i="88"/>
  <c r="P25" i="88"/>
  <c r="Q25" i="88"/>
  <c r="P26" i="88"/>
  <c r="Q26" i="88"/>
  <c r="P27" i="88"/>
  <c r="Q27" i="88"/>
  <c r="P28" i="88"/>
  <c r="Q28" i="88"/>
  <c r="P29" i="88"/>
  <c r="Q29" i="88"/>
  <c r="P30" i="88"/>
  <c r="Q30" i="88"/>
  <c r="P31" i="88"/>
  <c r="Q31" i="88"/>
  <c r="P32" i="88"/>
  <c r="Q32" i="88"/>
  <c r="P33" i="88"/>
  <c r="Q33" i="88"/>
  <c r="P34" i="88"/>
  <c r="Q34" i="88"/>
  <c r="P35" i="88"/>
  <c r="Q35" i="88"/>
  <c r="P36" i="88"/>
  <c r="Q36" i="88"/>
  <c r="P37" i="88"/>
  <c r="Q37" i="88"/>
  <c r="P38" i="88"/>
  <c r="Q38" i="88"/>
  <c r="P39" i="88"/>
  <c r="Q39" i="88"/>
  <c r="P40" i="88"/>
  <c r="Q40" i="88"/>
  <c r="P41" i="88"/>
  <c r="Q41" i="88"/>
  <c r="P42" i="88"/>
  <c r="Q42" i="88"/>
  <c r="P43" i="88"/>
  <c r="Q43" i="88"/>
  <c r="P44" i="88"/>
  <c r="Q44" i="88"/>
  <c r="P45" i="88"/>
  <c r="Q45" i="88"/>
  <c r="P46" i="88"/>
  <c r="Q46" i="88"/>
  <c r="P47" i="88"/>
  <c r="Q47" i="88"/>
  <c r="P48" i="88"/>
  <c r="Q48" i="88"/>
  <c r="P49" i="88"/>
  <c r="Q49" i="88"/>
  <c r="P50" i="88"/>
  <c r="Q50" i="88"/>
  <c r="P51" i="88"/>
  <c r="Q51" i="88"/>
  <c r="P52" i="88"/>
  <c r="Q52" i="88"/>
  <c r="P53" i="88"/>
  <c r="Q53" i="88"/>
  <c r="P54" i="88"/>
  <c r="Q54" i="88"/>
  <c r="P55" i="88"/>
  <c r="Q55" i="88"/>
  <c r="P56" i="88"/>
  <c r="Q56" i="88"/>
  <c r="P57" i="88"/>
  <c r="Q57" i="88"/>
  <c r="P58" i="88"/>
  <c r="Q58" i="88"/>
  <c r="P59" i="88"/>
  <c r="Q59" i="88"/>
  <c r="P60" i="88"/>
  <c r="Q60" i="88"/>
  <c r="P61" i="88"/>
  <c r="Q61" i="88"/>
  <c r="P62" i="88"/>
  <c r="Q62" i="88"/>
  <c r="P63" i="88"/>
  <c r="Q63" i="88"/>
  <c r="P64" i="88"/>
  <c r="Q64" i="88"/>
  <c r="P65" i="88"/>
  <c r="Q65" i="88"/>
  <c r="P66" i="88"/>
  <c r="Q66" i="88"/>
  <c r="P67" i="88"/>
  <c r="Q67" i="88"/>
  <c r="P68" i="88"/>
  <c r="Q68" i="88"/>
  <c r="P69" i="88"/>
  <c r="Q69" i="88"/>
  <c r="P70" i="88"/>
  <c r="Q70" i="88"/>
  <c r="P71" i="88"/>
  <c r="Q71" i="88"/>
  <c r="P72" i="88"/>
  <c r="Q72" i="88"/>
  <c r="P73" i="88"/>
  <c r="Q73" i="88"/>
  <c r="P74" i="88"/>
  <c r="Q74" i="88"/>
  <c r="P75" i="88"/>
  <c r="Q75" i="88"/>
  <c r="P76" i="88"/>
  <c r="Q76" i="88"/>
  <c r="P77" i="88"/>
  <c r="Q77" i="88"/>
  <c r="P78" i="88"/>
  <c r="Q78" i="88"/>
  <c r="P79" i="88"/>
  <c r="Q79" i="88"/>
  <c r="P80" i="88"/>
  <c r="Q80" i="88"/>
  <c r="P81" i="88"/>
  <c r="Q81" i="88"/>
  <c r="P82" i="88"/>
  <c r="Q82" i="88"/>
  <c r="P83" i="88"/>
  <c r="Q83" i="88"/>
  <c r="P84" i="88"/>
  <c r="Q84" i="88"/>
  <c r="P85" i="88"/>
  <c r="Q85" i="88"/>
  <c r="P86" i="88"/>
  <c r="Q86" i="88"/>
  <c r="P87" i="88"/>
  <c r="Q87" i="88"/>
  <c r="P88" i="88"/>
  <c r="Q88" i="88"/>
  <c r="P89" i="88"/>
  <c r="Q89" i="88"/>
  <c r="P90" i="88"/>
  <c r="Q90" i="88"/>
  <c r="P91" i="88"/>
  <c r="Q91" i="88"/>
  <c r="P92" i="88"/>
  <c r="Q92" i="88"/>
  <c r="P93" i="88"/>
  <c r="Q93" i="88"/>
  <c r="P94" i="88"/>
  <c r="Q94" i="88"/>
  <c r="P95" i="88"/>
  <c r="Q95" i="88"/>
  <c r="P96" i="88"/>
  <c r="Q96" i="88"/>
  <c r="P97" i="88"/>
  <c r="Q97" i="88"/>
  <c r="P98" i="88"/>
  <c r="Q98" i="88"/>
  <c r="P99" i="88"/>
  <c r="Q99" i="88"/>
  <c r="P100" i="88"/>
  <c r="Q100" i="88"/>
  <c r="P101" i="88"/>
  <c r="Q101" i="88"/>
  <c r="P102" i="88"/>
  <c r="Q102" i="88"/>
  <c r="P103" i="88"/>
  <c r="Q103" i="88"/>
  <c r="P104" i="88"/>
  <c r="Q104" i="88"/>
  <c r="P105" i="88"/>
  <c r="Q105" i="88"/>
  <c r="P106" i="88"/>
  <c r="Q106" i="88"/>
  <c r="P107" i="88"/>
  <c r="Q107" i="88"/>
  <c r="P108" i="88"/>
  <c r="Q108" i="88"/>
  <c r="P109" i="88"/>
  <c r="Q109" i="88"/>
  <c r="P110" i="88"/>
  <c r="Q110" i="88"/>
  <c r="P111" i="88"/>
  <c r="Q111" i="88"/>
  <c r="P112" i="88"/>
  <c r="Q112" i="88"/>
  <c r="P113" i="88"/>
  <c r="Q113" i="88"/>
  <c r="P114" i="88"/>
  <c r="Q114" i="88"/>
  <c r="P115" i="88"/>
  <c r="Q115" i="88"/>
  <c r="P116" i="88"/>
  <c r="Q116" i="88"/>
  <c r="P117" i="88"/>
  <c r="Q117" i="88"/>
  <c r="P118" i="88"/>
  <c r="Q118" i="88"/>
  <c r="P119" i="88"/>
  <c r="Q119" i="88"/>
  <c r="P120" i="88"/>
  <c r="Q120" i="88"/>
  <c r="P121" i="88"/>
  <c r="Q121" i="88"/>
  <c r="P122" i="88"/>
  <c r="Q122" i="88"/>
  <c r="P123" i="88"/>
  <c r="Q123" i="88"/>
  <c r="P124" i="88"/>
  <c r="Q124" i="88"/>
  <c r="P125" i="88"/>
  <c r="Q125" i="88"/>
  <c r="P126" i="88"/>
  <c r="Q126" i="88"/>
  <c r="P127" i="88"/>
  <c r="Q127" i="88"/>
  <c r="P128" i="88"/>
  <c r="Q128" i="88"/>
  <c r="P129" i="88"/>
  <c r="Q129" i="88"/>
  <c r="P130" i="88"/>
  <c r="Q130" i="88"/>
  <c r="P131" i="88"/>
  <c r="Q131" i="88"/>
  <c r="P132" i="88"/>
  <c r="Q132" i="88"/>
  <c r="P133" i="88"/>
  <c r="Q133" i="88"/>
  <c r="P134" i="88"/>
  <c r="Q134" i="88"/>
  <c r="P135" i="88"/>
  <c r="Q135" i="88"/>
  <c r="P136" i="88"/>
  <c r="Q136" i="88"/>
  <c r="P137" i="88"/>
  <c r="Q137" i="88"/>
  <c r="P138" i="88"/>
  <c r="Q138" i="88"/>
  <c r="P139" i="88"/>
  <c r="Q139" i="88"/>
  <c r="P140" i="88"/>
  <c r="Q140" i="88"/>
  <c r="P141" i="88"/>
  <c r="Q141" i="88"/>
  <c r="P142" i="88"/>
  <c r="Q142" i="88"/>
  <c r="P143" i="88"/>
  <c r="Q143" i="88"/>
  <c r="P144" i="88"/>
  <c r="Q144" i="88"/>
  <c r="P145" i="88"/>
  <c r="Q145" i="88"/>
  <c r="P146" i="88"/>
  <c r="Q146" i="88"/>
  <c r="P147" i="88"/>
  <c r="Q147" i="88"/>
  <c r="P148" i="88"/>
  <c r="Q148" i="88"/>
  <c r="P149" i="88"/>
  <c r="Q149" i="88"/>
  <c r="P150" i="88"/>
  <c r="Q150" i="88"/>
  <c r="P151" i="88"/>
  <c r="Q151" i="88"/>
  <c r="P152" i="88"/>
  <c r="Q152" i="88"/>
  <c r="P153" i="88"/>
  <c r="Q153" i="88"/>
  <c r="P154" i="88"/>
  <c r="Q154" i="88"/>
  <c r="P155" i="88"/>
  <c r="Q155" i="88"/>
  <c r="P156" i="88"/>
  <c r="Q156" i="88"/>
  <c r="P157" i="88"/>
  <c r="Q157" i="88"/>
  <c r="P158" i="88"/>
  <c r="Q158" i="88"/>
  <c r="P159" i="88"/>
  <c r="Q159" i="88"/>
  <c r="P160" i="88"/>
  <c r="Q160" i="88"/>
  <c r="P161" i="88"/>
  <c r="Q161" i="88"/>
  <c r="P162" i="88"/>
  <c r="Q162" i="88"/>
  <c r="P163" i="88"/>
  <c r="Q163" i="88"/>
  <c r="P164" i="88"/>
  <c r="Q164" i="88"/>
  <c r="P165" i="88"/>
  <c r="Q165" i="88"/>
  <c r="P166" i="88"/>
  <c r="Q166" i="88"/>
  <c r="P167" i="88"/>
  <c r="Q167" i="88"/>
  <c r="P168" i="88"/>
  <c r="Q168" i="88"/>
  <c r="P169" i="88"/>
  <c r="Q169" i="88"/>
  <c r="P170" i="88"/>
  <c r="Q170" i="88"/>
  <c r="P171" i="88"/>
  <c r="Q171" i="88"/>
  <c r="P172" i="88"/>
  <c r="Q172" i="88"/>
  <c r="P173" i="88"/>
  <c r="Q173" i="88"/>
  <c r="P174" i="88"/>
  <c r="Q174" i="88"/>
  <c r="P175" i="88"/>
  <c r="Q175" i="88"/>
  <c r="P176" i="88"/>
  <c r="Q176" i="88"/>
  <c r="P177" i="88"/>
  <c r="Q177" i="88"/>
  <c r="P178" i="88"/>
  <c r="Q178" i="88"/>
  <c r="P179" i="88"/>
  <c r="Q179" i="88"/>
  <c r="P180" i="88"/>
  <c r="Q180" i="88"/>
  <c r="P181" i="88"/>
  <c r="Q181" i="88"/>
  <c r="P182" i="88"/>
  <c r="Q182" i="88"/>
  <c r="P183" i="88"/>
  <c r="Q183" i="88"/>
  <c r="P184" i="88"/>
  <c r="Q184" i="88"/>
  <c r="P185" i="88"/>
  <c r="Q185" i="88"/>
  <c r="P186" i="88"/>
  <c r="Q186" i="88"/>
  <c r="P187" i="88"/>
  <c r="Q187" i="88"/>
  <c r="P188" i="88"/>
  <c r="Q188" i="88"/>
  <c r="P189" i="88"/>
  <c r="Q189" i="88"/>
  <c r="P190" i="88"/>
  <c r="Q190" i="88"/>
  <c r="P191" i="88"/>
  <c r="Q191" i="88"/>
  <c r="P192" i="88"/>
  <c r="Q192" i="88"/>
  <c r="P193" i="88"/>
  <c r="Q193" i="88"/>
  <c r="P194" i="88"/>
  <c r="Q194" i="88"/>
  <c r="P195" i="88"/>
  <c r="Q195" i="88"/>
  <c r="P196" i="88"/>
  <c r="Q196" i="88"/>
  <c r="P197" i="88"/>
  <c r="Q197" i="88"/>
  <c r="P198" i="88"/>
  <c r="Q198" i="88"/>
  <c r="P199" i="88"/>
  <c r="Q199" i="88"/>
  <c r="P200" i="88"/>
  <c r="Q200" i="88"/>
  <c r="P201" i="88"/>
  <c r="Q201" i="88"/>
  <c r="P202" i="88"/>
  <c r="Q202" i="88"/>
  <c r="P203" i="88"/>
  <c r="Q203" i="88"/>
  <c r="P204" i="88"/>
  <c r="Q204" i="88"/>
  <c r="P205" i="88"/>
  <c r="Q205" i="88"/>
  <c r="P206" i="88"/>
  <c r="Q206" i="88"/>
  <c r="P207" i="88"/>
  <c r="Q207" i="88"/>
  <c r="P208" i="88"/>
  <c r="Q208" i="88"/>
  <c r="P209" i="88"/>
  <c r="Q209" i="88"/>
  <c r="P210" i="88"/>
  <c r="Q210" i="88"/>
  <c r="P211" i="88"/>
  <c r="Q211" i="88"/>
  <c r="P212" i="88"/>
  <c r="Q212" i="88"/>
  <c r="P213" i="88"/>
  <c r="Q213" i="88"/>
  <c r="P214" i="88"/>
  <c r="Q214" i="88"/>
  <c r="P215" i="88"/>
  <c r="Q215" i="88"/>
  <c r="P216" i="88"/>
  <c r="Q216" i="88"/>
  <c r="P217" i="88"/>
  <c r="Q217" i="88"/>
  <c r="P218" i="88"/>
  <c r="Q218" i="88"/>
  <c r="P219" i="88"/>
  <c r="Q219" i="88"/>
  <c r="P220" i="88"/>
  <c r="Q220" i="88"/>
  <c r="P221" i="88"/>
  <c r="Q221" i="88"/>
  <c r="P222" i="88"/>
  <c r="Q222" i="88"/>
  <c r="P223" i="88"/>
  <c r="Q223" i="88"/>
  <c r="P224" i="88"/>
  <c r="Q224" i="88"/>
  <c r="P225" i="88"/>
  <c r="Q225" i="88"/>
  <c r="P226" i="88"/>
  <c r="Q226" i="88"/>
  <c r="P227" i="88"/>
  <c r="Q227" i="88"/>
  <c r="P228" i="88"/>
  <c r="Q228" i="88"/>
  <c r="P229" i="88"/>
  <c r="Q229" i="88"/>
  <c r="P230" i="88"/>
  <c r="Q230" i="88"/>
  <c r="P231" i="88"/>
  <c r="Q231" i="88"/>
  <c r="P232" i="88"/>
  <c r="Q232" i="88"/>
  <c r="P233" i="88"/>
  <c r="Q233" i="88"/>
  <c r="P234" i="88"/>
  <c r="Q234" i="88"/>
  <c r="P235" i="88"/>
  <c r="Q235" i="88"/>
  <c r="P236" i="88"/>
  <c r="Q236" i="88"/>
  <c r="P237" i="88"/>
  <c r="Q237" i="88"/>
  <c r="P238" i="88"/>
  <c r="Q238" i="88"/>
  <c r="P239" i="88"/>
  <c r="Q239" i="88"/>
  <c r="P240" i="88"/>
  <c r="Q240" i="88"/>
  <c r="P241" i="88"/>
  <c r="Q241" i="88"/>
  <c r="P242" i="88"/>
  <c r="Q242" i="88"/>
  <c r="P243" i="88"/>
  <c r="Q243" i="88"/>
  <c r="P244" i="88"/>
  <c r="Q244" i="88"/>
  <c r="P245" i="88"/>
  <c r="Q245" i="88"/>
  <c r="P246" i="88"/>
  <c r="Q246" i="88"/>
  <c r="P247" i="88"/>
  <c r="Q247" i="88"/>
  <c r="P248" i="88"/>
  <c r="Q248" i="88"/>
  <c r="P249" i="88"/>
  <c r="Q249" i="88"/>
  <c r="P250" i="88"/>
  <c r="Q250" i="88"/>
  <c r="P251" i="88"/>
  <c r="Q251" i="88"/>
  <c r="P252" i="88"/>
  <c r="Q252" i="88"/>
  <c r="P253" i="88"/>
  <c r="Q253" i="88"/>
  <c r="P254" i="88"/>
  <c r="Q254" i="88"/>
  <c r="P255" i="88"/>
  <c r="Q255" i="88"/>
  <c r="P256" i="88"/>
  <c r="Q256" i="88"/>
  <c r="P257" i="88"/>
  <c r="Q257" i="88"/>
  <c r="P258" i="88"/>
  <c r="Q258" i="88"/>
  <c r="P259" i="88"/>
  <c r="Q259" i="88"/>
  <c r="P260" i="88"/>
  <c r="Q260" i="88"/>
  <c r="P261" i="88"/>
  <c r="Q261" i="88"/>
  <c r="P262" i="88"/>
  <c r="Q262" i="88"/>
  <c r="P263" i="88"/>
  <c r="Q263" i="88"/>
  <c r="P264" i="88"/>
  <c r="Q264" i="88"/>
  <c r="P265" i="88"/>
  <c r="Q265" i="88"/>
  <c r="P266" i="88"/>
  <c r="Q266" i="88"/>
  <c r="P267" i="88"/>
  <c r="Q267" i="88"/>
  <c r="P268" i="88"/>
  <c r="Q268" i="88"/>
  <c r="P269" i="88"/>
  <c r="Q269" i="88"/>
  <c r="P270" i="88"/>
  <c r="Q270" i="88"/>
  <c r="P271" i="88"/>
  <c r="Q271" i="88"/>
  <c r="P272" i="88"/>
  <c r="Q272" i="88"/>
  <c r="P273" i="88"/>
  <c r="Q273" i="88"/>
  <c r="P274" i="88"/>
  <c r="Q274" i="88"/>
  <c r="P275" i="88"/>
  <c r="Q275" i="88"/>
  <c r="P276" i="88"/>
  <c r="Q276" i="88"/>
  <c r="P277" i="88"/>
  <c r="Q277" i="88"/>
  <c r="P278" i="88"/>
  <c r="Q278" i="88"/>
  <c r="P279" i="88"/>
  <c r="Q279" i="88"/>
  <c r="P280" i="88"/>
  <c r="Q280" i="88"/>
  <c r="P281" i="88"/>
  <c r="Q281" i="88"/>
  <c r="P282" i="88"/>
  <c r="Q282" i="88"/>
  <c r="P283" i="88"/>
  <c r="Q283" i="88"/>
  <c r="P284" i="88"/>
  <c r="Q284" i="88"/>
  <c r="P285" i="88"/>
  <c r="Q285" i="88"/>
  <c r="P286" i="88"/>
  <c r="Q286" i="88"/>
  <c r="P287" i="88"/>
  <c r="Q287" i="88"/>
  <c r="P288" i="88"/>
  <c r="Q288" i="88"/>
  <c r="P289" i="88"/>
  <c r="Q289" i="88"/>
  <c r="P290" i="88"/>
  <c r="Q290" i="88"/>
  <c r="P291" i="88"/>
  <c r="Q291" i="88"/>
  <c r="P292" i="88"/>
  <c r="Q292" i="88"/>
  <c r="P293" i="88"/>
  <c r="Q293" i="88"/>
  <c r="P294" i="88"/>
  <c r="Q294" i="88"/>
  <c r="P295" i="88"/>
  <c r="Q295" i="88"/>
  <c r="P296" i="88"/>
  <c r="Q296" i="88"/>
  <c r="P297" i="88"/>
  <c r="Q297" i="88"/>
  <c r="P298" i="88"/>
  <c r="Q298" i="88"/>
  <c r="P299" i="88"/>
  <c r="Q299" i="88"/>
  <c r="P300" i="88"/>
  <c r="Q300" i="88"/>
  <c r="P301" i="88"/>
  <c r="Q301" i="88"/>
  <c r="P302" i="88"/>
  <c r="Q302" i="88"/>
  <c r="P303" i="88"/>
  <c r="Q303" i="88"/>
  <c r="P304" i="88"/>
  <c r="Q304" i="88"/>
  <c r="P305" i="88"/>
  <c r="Q305" i="88"/>
  <c r="P306" i="88"/>
  <c r="Q306" i="88"/>
  <c r="P307" i="88"/>
  <c r="Q307" i="88"/>
  <c r="P308" i="88"/>
  <c r="Q308" i="88"/>
  <c r="P309" i="88"/>
  <c r="Q309" i="88"/>
  <c r="P310" i="88"/>
  <c r="Q310" i="88"/>
  <c r="P311" i="88"/>
  <c r="Q311" i="88"/>
  <c r="P312" i="88"/>
  <c r="Q312" i="88"/>
  <c r="P313" i="88"/>
  <c r="Q313" i="88"/>
  <c r="P314" i="88"/>
  <c r="Q314" i="88"/>
  <c r="P315" i="88"/>
  <c r="Q315" i="88"/>
  <c r="P316" i="88"/>
  <c r="Q316" i="88"/>
  <c r="P317" i="88"/>
  <c r="Q317" i="88"/>
  <c r="P318" i="88"/>
  <c r="Q318" i="88"/>
  <c r="P319" i="88"/>
  <c r="Q319" i="88"/>
  <c r="P320" i="88"/>
  <c r="Q320" i="88"/>
  <c r="P321" i="88"/>
  <c r="Q321" i="88"/>
  <c r="P322" i="88"/>
  <c r="Q322" i="88"/>
  <c r="P323" i="88"/>
  <c r="Q323" i="88"/>
  <c r="P324" i="88"/>
  <c r="Q324" i="88"/>
  <c r="P325" i="88"/>
  <c r="Q325" i="88"/>
  <c r="P326" i="88"/>
  <c r="Q326" i="88"/>
  <c r="P327" i="88"/>
  <c r="Q327" i="88"/>
  <c r="P328" i="88"/>
  <c r="Q328" i="88"/>
  <c r="P329" i="88"/>
  <c r="Q329" i="88"/>
  <c r="P330" i="88"/>
  <c r="Q330" i="88"/>
  <c r="P331" i="88"/>
  <c r="Q331" i="88"/>
  <c r="P332" i="88"/>
  <c r="Q332" i="88"/>
  <c r="P333" i="88"/>
  <c r="Q333" i="88"/>
  <c r="P334" i="88"/>
  <c r="Q334" i="88"/>
  <c r="P335" i="88"/>
  <c r="Q335" i="88"/>
  <c r="P336" i="88"/>
  <c r="Q336" i="88"/>
  <c r="P337" i="88"/>
  <c r="Q337" i="88"/>
  <c r="P338" i="88"/>
  <c r="Q338" i="88"/>
  <c r="P339" i="88"/>
  <c r="Q339" i="88"/>
  <c r="P340" i="88"/>
  <c r="Q340" i="88"/>
  <c r="P341" i="88"/>
  <c r="Q341" i="88"/>
  <c r="P342" i="88"/>
  <c r="Q342" i="88"/>
  <c r="P343" i="88"/>
  <c r="Q343" i="88"/>
  <c r="P344" i="88"/>
  <c r="Q344" i="88"/>
  <c r="P345" i="88"/>
  <c r="Q345" i="88"/>
  <c r="P346" i="88"/>
  <c r="Q346" i="88"/>
  <c r="P347" i="88"/>
  <c r="Q347" i="88"/>
  <c r="P348" i="88"/>
  <c r="Q348" i="88"/>
  <c r="P349" i="88"/>
  <c r="Q349" i="88"/>
  <c r="P350" i="88"/>
  <c r="Q350" i="88"/>
  <c r="P351" i="88"/>
  <c r="Q351" i="88"/>
  <c r="P352" i="88"/>
  <c r="Q352" i="88"/>
  <c r="P353" i="88"/>
  <c r="Q353" i="88"/>
  <c r="P354" i="88"/>
  <c r="Q354" i="88"/>
  <c r="P355" i="88"/>
  <c r="Q355" i="88"/>
  <c r="P356" i="88"/>
  <c r="Q356" i="88"/>
  <c r="P357" i="88"/>
  <c r="Q357" i="88"/>
  <c r="P358" i="88"/>
  <c r="Q358" i="88"/>
  <c r="P359" i="88"/>
  <c r="Q359" i="88"/>
  <c r="P360" i="88"/>
  <c r="Q360" i="88"/>
  <c r="P361" i="88"/>
  <c r="Q361" i="88"/>
  <c r="P362" i="88"/>
  <c r="Q362" i="88"/>
  <c r="P363" i="88"/>
  <c r="Q363" i="88"/>
  <c r="P364" i="88"/>
  <c r="Q364" i="88"/>
  <c r="P365" i="88"/>
  <c r="Q365" i="88"/>
  <c r="P366" i="88"/>
  <c r="Q366" i="88"/>
  <c r="P367" i="88"/>
  <c r="Q367" i="88"/>
  <c r="P368" i="88"/>
  <c r="Q368" i="88"/>
  <c r="P369" i="88"/>
  <c r="Q369" i="88"/>
  <c r="P370" i="88"/>
  <c r="Q370" i="88"/>
  <c r="P371" i="88"/>
  <c r="Q371" i="88"/>
  <c r="P372" i="88"/>
  <c r="Q372" i="88"/>
  <c r="P373" i="88"/>
  <c r="Q373" i="88"/>
  <c r="P374" i="88"/>
  <c r="Q374" i="88"/>
  <c r="P375" i="88"/>
  <c r="Q375" i="88"/>
  <c r="P376" i="88"/>
  <c r="Q376" i="88"/>
  <c r="P377" i="88"/>
  <c r="Q377" i="88"/>
  <c r="P378" i="88"/>
  <c r="Q378" i="88"/>
  <c r="P379" i="88"/>
  <c r="Q379" i="88"/>
  <c r="P380" i="88"/>
  <c r="Q380" i="88"/>
  <c r="P381" i="88"/>
  <c r="Q381" i="88"/>
  <c r="P382" i="88"/>
  <c r="Q382" i="88"/>
  <c r="P383" i="88"/>
  <c r="Q383" i="88"/>
  <c r="P384" i="88"/>
  <c r="Q384" i="88"/>
  <c r="P385" i="88"/>
  <c r="Q385" i="88"/>
  <c r="P386" i="88"/>
  <c r="Q386" i="88"/>
  <c r="P387" i="88"/>
  <c r="Q387" i="88"/>
  <c r="P388" i="88"/>
  <c r="Q388" i="88"/>
  <c r="P389" i="88"/>
  <c r="Q389" i="88"/>
  <c r="P390" i="88"/>
  <c r="Q390" i="88"/>
  <c r="P391" i="88"/>
  <c r="Q391" i="88"/>
  <c r="P392" i="88"/>
  <c r="Q392" i="88"/>
  <c r="P393" i="88"/>
  <c r="Q393" i="88"/>
  <c r="P394" i="88"/>
  <c r="Q394" i="88"/>
  <c r="P395" i="88"/>
  <c r="Q395" i="88"/>
  <c r="P396" i="88"/>
  <c r="Q396" i="88"/>
  <c r="P397" i="88"/>
  <c r="Q397" i="88"/>
  <c r="P398" i="88"/>
  <c r="Q398" i="88"/>
  <c r="P399" i="88"/>
  <c r="Q399" i="88"/>
  <c r="P400" i="88"/>
  <c r="Q400" i="88"/>
  <c r="P401" i="88"/>
  <c r="Q401" i="88"/>
  <c r="P402" i="88"/>
  <c r="Q402" i="88"/>
  <c r="P403" i="88"/>
  <c r="Q403" i="88"/>
  <c r="P404" i="88"/>
  <c r="Q404" i="88"/>
  <c r="P405" i="88"/>
  <c r="Q405" i="88"/>
  <c r="P406" i="88"/>
  <c r="Q406" i="88"/>
  <c r="P407" i="88"/>
  <c r="Q407" i="88"/>
  <c r="P408" i="88"/>
  <c r="Q408" i="88"/>
  <c r="P409" i="88"/>
  <c r="Q409" i="88"/>
  <c r="P410" i="88"/>
  <c r="Q410" i="88"/>
  <c r="P411" i="88"/>
  <c r="Q411" i="88"/>
  <c r="P412" i="88"/>
  <c r="Q412" i="88"/>
  <c r="P413" i="88"/>
  <c r="Q413" i="88"/>
  <c r="P414" i="88"/>
  <c r="Q414" i="88"/>
  <c r="P415" i="88"/>
  <c r="Q415" i="88"/>
  <c r="P416" i="88"/>
  <c r="Q416" i="88"/>
  <c r="P417" i="88"/>
  <c r="Q417" i="88"/>
  <c r="P418" i="88"/>
  <c r="Q418" i="88"/>
  <c r="P419" i="88"/>
  <c r="Q419" i="88"/>
  <c r="P420" i="88"/>
  <c r="Q420" i="88"/>
  <c r="P421" i="88"/>
  <c r="Q421" i="88"/>
  <c r="P422" i="88"/>
  <c r="Q422" i="88"/>
  <c r="P423" i="88"/>
  <c r="Q423" i="88"/>
  <c r="P424" i="88"/>
  <c r="Q424" i="88"/>
  <c r="P425" i="88"/>
  <c r="Q425" i="88"/>
  <c r="P426" i="88"/>
  <c r="Q426" i="88"/>
  <c r="P427" i="88"/>
  <c r="Q427" i="88"/>
  <c r="P428" i="88"/>
  <c r="Q428" i="88"/>
  <c r="P429" i="88"/>
  <c r="Q429" i="88"/>
  <c r="P430" i="88"/>
  <c r="Q430" i="88"/>
  <c r="P431" i="88"/>
  <c r="Q431" i="88"/>
  <c r="P432" i="88"/>
  <c r="Q432" i="88"/>
  <c r="P433" i="88"/>
  <c r="Q433" i="88"/>
  <c r="P434" i="88"/>
  <c r="Q434" i="88"/>
  <c r="P435" i="88"/>
  <c r="Q435" i="88"/>
  <c r="P436" i="88"/>
  <c r="Q436" i="88"/>
  <c r="P437" i="88"/>
  <c r="Q437" i="88"/>
  <c r="P438" i="88"/>
  <c r="Q438" i="88"/>
  <c r="P439" i="88"/>
  <c r="Q439" i="88"/>
  <c r="P440" i="88"/>
  <c r="Q440" i="88"/>
  <c r="P441" i="88"/>
  <c r="Q441" i="88"/>
  <c r="P442" i="88"/>
  <c r="Q442" i="88"/>
  <c r="P443" i="88"/>
  <c r="Q443" i="88"/>
  <c r="P444" i="88"/>
  <c r="Q444" i="88"/>
  <c r="P445" i="88"/>
  <c r="Q445" i="88"/>
  <c r="P446" i="88"/>
  <c r="Q446" i="88"/>
  <c r="P447" i="88"/>
  <c r="Q447" i="88"/>
  <c r="P448" i="88"/>
  <c r="Q448" i="88"/>
  <c r="P449" i="88"/>
  <c r="Q449" i="88"/>
  <c r="P450" i="88"/>
  <c r="Q450" i="88"/>
  <c r="P451" i="88"/>
  <c r="Q451" i="88"/>
  <c r="P452" i="88"/>
  <c r="Q452" i="88"/>
  <c r="P453" i="88"/>
  <c r="Q453" i="88"/>
  <c r="P454" i="88"/>
  <c r="Q454" i="88"/>
  <c r="P455" i="88"/>
  <c r="Q455" i="88"/>
  <c r="P456" i="88"/>
  <c r="Q456" i="88"/>
  <c r="P457" i="88"/>
  <c r="Q457" i="88"/>
  <c r="P458" i="88"/>
  <c r="Q458" i="88"/>
  <c r="P459" i="88"/>
  <c r="Q459" i="88"/>
  <c r="P460" i="88"/>
  <c r="Q460" i="88"/>
  <c r="P461" i="88"/>
  <c r="Q461" i="88"/>
  <c r="P462" i="88"/>
  <c r="Q462" i="88"/>
  <c r="P463" i="88"/>
  <c r="Q463" i="88"/>
  <c r="P464" i="88"/>
  <c r="Q464" i="88"/>
  <c r="P465" i="88"/>
  <c r="Q465" i="88"/>
  <c r="P466" i="88"/>
  <c r="Q466" i="88"/>
  <c r="P467" i="88"/>
  <c r="Q467" i="88"/>
  <c r="P468" i="88"/>
  <c r="Q468" i="88"/>
  <c r="P469" i="88"/>
  <c r="Q469" i="88"/>
  <c r="P470" i="88"/>
  <c r="Q470" i="88"/>
  <c r="P471" i="88"/>
  <c r="Q471" i="88"/>
  <c r="P472" i="88"/>
  <c r="Q472" i="88"/>
  <c r="P473" i="88"/>
  <c r="Q473" i="88"/>
  <c r="P474" i="88"/>
  <c r="Q474" i="88"/>
  <c r="P475" i="88"/>
  <c r="Q475" i="88"/>
  <c r="P476" i="88"/>
  <c r="Q476" i="88"/>
  <c r="P477" i="88"/>
  <c r="Q477" i="88"/>
  <c r="P478" i="88"/>
  <c r="Q478" i="88"/>
  <c r="P479" i="88"/>
  <c r="Q479" i="88"/>
  <c r="P480" i="88"/>
  <c r="Q480" i="88"/>
  <c r="P481" i="88"/>
  <c r="Q481" i="88"/>
  <c r="P482" i="88"/>
  <c r="Q482" i="88"/>
  <c r="P483" i="88"/>
  <c r="Q483" i="88"/>
  <c r="P484" i="88"/>
  <c r="Q484" i="88"/>
  <c r="P485" i="88"/>
  <c r="Q485" i="88"/>
  <c r="P486" i="88"/>
  <c r="Q486" i="88"/>
  <c r="P487" i="88"/>
  <c r="Q487" i="88"/>
  <c r="P488" i="88"/>
  <c r="Q488" i="88"/>
  <c r="P489" i="88"/>
  <c r="Q489" i="88"/>
  <c r="P490" i="88"/>
  <c r="Q490" i="88"/>
  <c r="P491" i="88"/>
  <c r="Q491" i="88"/>
  <c r="P492" i="88"/>
  <c r="Q492" i="88"/>
  <c r="P493" i="88"/>
  <c r="Q493" i="88"/>
  <c r="P494" i="88"/>
  <c r="Q494" i="88"/>
  <c r="P495" i="88"/>
  <c r="Q495" i="88"/>
  <c r="P496" i="88"/>
  <c r="Q496" i="88"/>
  <c r="P497" i="88"/>
  <c r="Q497" i="88"/>
  <c r="P498" i="88"/>
  <c r="Q498" i="88"/>
  <c r="P499" i="88"/>
  <c r="Q499" i="88"/>
  <c r="P500" i="88"/>
  <c r="Q500" i="88"/>
  <c r="P501" i="88"/>
  <c r="Q501" i="88"/>
  <c r="P502" i="88"/>
  <c r="Q502" i="88"/>
  <c r="P503" i="88"/>
  <c r="Q503" i="88"/>
  <c r="P504" i="88"/>
  <c r="Q504" i="88"/>
  <c r="P505" i="88"/>
  <c r="Q505" i="88"/>
  <c r="P506" i="88"/>
  <c r="Q506" i="88"/>
  <c r="P507" i="88"/>
  <c r="Q507" i="88"/>
  <c r="P508" i="88"/>
  <c r="Q508" i="88"/>
  <c r="P509" i="88"/>
  <c r="Q509" i="88"/>
  <c r="P510" i="88"/>
  <c r="Q510" i="88"/>
  <c r="P511" i="88"/>
  <c r="Q511" i="88"/>
  <c r="P512" i="88"/>
  <c r="Q512" i="88"/>
  <c r="P513" i="88"/>
  <c r="Q513" i="88"/>
  <c r="P514" i="88"/>
  <c r="Q514" i="88"/>
  <c r="P515" i="88"/>
  <c r="Q515" i="88"/>
  <c r="P516" i="88"/>
  <c r="Q516" i="88"/>
  <c r="P517" i="88"/>
  <c r="Q517" i="88"/>
  <c r="P518" i="88"/>
  <c r="Q518" i="88"/>
  <c r="P519" i="88"/>
  <c r="Q519" i="88"/>
  <c r="P520" i="88"/>
  <c r="Q520" i="88"/>
  <c r="P521" i="88"/>
  <c r="Q521" i="88"/>
  <c r="P522" i="88"/>
  <c r="Q522" i="88"/>
  <c r="P523" i="88"/>
  <c r="Q523" i="88"/>
  <c r="P524" i="88"/>
  <c r="Q524" i="88"/>
  <c r="P525" i="88"/>
  <c r="Q525" i="88"/>
  <c r="P526" i="88"/>
  <c r="Q526" i="88"/>
  <c r="P527" i="88"/>
  <c r="Q527" i="88"/>
  <c r="P528" i="88"/>
  <c r="Q528" i="88"/>
  <c r="P529" i="88"/>
  <c r="Q529" i="88"/>
  <c r="P530" i="88"/>
  <c r="Q530" i="88"/>
  <c r="P531" i="88"/>
  <c r="Q531" i="88"/>
  <c r="P532" i="88"/>
  <c r="Q532" i="88"/>
  <c r="P533" i="88"/>
  <c r="Q533" i="88"/>
  <c r="P534" i="88"/>
  <c r="Q534" i="88"/>
  <c r="P535" i="88"/>
  <c r="Q535" i="88"/>
  <c r="P536" i="88"/>
  <c r="Q536" i="88"/>
  <c r="P537" i="88"/>
  <c r="Q537" i="88"/>
  <c r="P538" i="88"/>
  <c r="Q538" i="88"/>
  <c r="P539" i="88"/>
  <c r="Q539" i="88"/>
  <c r="P540" i="88"/>
  <c r="Q540" i="88"/>
  <c r="P541" i="88"/>
  <c r="Q541" i="88"/>
  <c r="P542" i="88"/>
  <c r="Q542" i="88"/>
  <c r="P543" i="88"/>
  <c r="Q543" i="88"/>
  <c r="P544" i="88"/>
  <c r="Q544" i="88"/>
  <c r="P545" i="88"/>
  <c r="Q545" i="88"/>
  <c r="P546" i="88"/>
  <c r="Q546" i="88"/>
  <c r="P547" i="88"/>
  <c r="Q547" i="88"/>
  <c r="P548" i="88"/>
  <c r="Q548" i="88"/>
  <c r="P549" i="88"/>
  <c r="Q549" i="88"/>
  <c r="P550" i="88"/>
  <c r="Q550" i="88"/>
  <c r="P551" i="88"/>
  <c r="Q551" i="88"/>
  <c r="P552" i="88"/>
  <c r="Q552" i="88"/>
  <c r="P553" i="88"/>
  <c r="Q553" i="88"/>
  <c r="P554" i="88"/>
  <c r="Q554" i="88"/>
  <c r="P555" i="88"/>
  <c r="Q555" i="88"/>
  <c r="P556" i="88"/>
  <c r="Q556" i="88"/>
  <c r="P557" i="88"/>
  <c r="Q557" i="88"/>
  <c r="P558" i="88"/>
  <c r="Q558" i="88"/>
  <c r="P559" i="88"/>
  <c r="Q559" i="88"/>
  <c r="P560" i="88"/>
  <c r="Q560" i="88"/>
  <c r="P561" i="88"/>
  <c r="Q561" i="88"/>
  <c r="P562" i="88"/>
  <c r="Q562" i="88"/>
  <c r="P563" i="88"/>
  <c r="Q563" i="88"/>
  <c r="P564" i="88"/>
  <c r="Q564" i="88"/>
  <c r="P565" i="88"/>
  <c r="Q565" i="88"/>
  <c r="P566" i="88"/>
  <c r="Q566" i="88"/>
  <c r="P567" i="88"/>
  <c r="Q567" i="88"/>
  <c r="P568" i="88"/>
  <c r="Q568" i="88"/>
  <c r="P569" i="88"/>
  <c r="Q569" i="88"/>
  <c r="P570" i="88"/>
  <c r="Q570" i="88"/>
  <c r="P571" i="88"/>
  <c r="Q571" i="88"/>
  <c r="P572" i="88"/>
  <c r="Q572" i="88"/>
  <c r="P573" i="88"/>
  <c r="Q573" i="88"/>
  <c r="P574" i="88"/>
  <c r="Q574" i="88"/>
  <c r="P575" i="88"/>
  <c r="Q575" i="88"/>
  <c r="P576" i="88"/>
  <c r="Q576" i="88"/>
  <c r="P577" i="88"/>
  <c r="Q577" i="88"/>
  <c r="P578" i="88"/>
  <c r="Q578" i="88"/>
  <c r="P579" i="88"/>
  <c r="Q579" i="88"/>
  <c r="P580" i="88"/>
  <c r="Q580" i="88"/>
  <c r="P581" i="88"/>
  <c r="Q581" i="88"/>
  <c r="P582" i="88"/>
  <c r="Q582" i="88"/>
  <c r="P583" i="88"/>
  <c r="Q583" i="88"/>
  <c r="P584" i="88"/>
  <c r="Q584" i="88"/>
  <c r="P585" i="88"/>
  <c r="Q585" i="88"/>
  <c r="P586" i="88"/>
  <c r="Q586" i="88"/>
  <c r="P587" i="88"/>
  <c r="Q587" i="88"/>
  <c r="P588" i="88"/>
  <c r="Q588" i="88"/>
  <c r="P589" i="88"/>
  <c r="Q589" i="88"/>
  <c r="P590" i="88"/>
  <c r="Q590" i="88"/>
  <c r="P591" i="88"/>
  <c r="Q591" i="88"/>
  <c r="P592" i="88"/>
  <c r="Q592" i="88"/>
  <c r="P593" i="88"/>
  <c r="Q593" i="88"/>
  <c r="P594" i="88"/>
  <c r="Q594" i="88"/>
  <c r="P595" i="88"/>
  <c r="Q595" i="88"/>
  <c r="P596" i="88"/>
  <c r="Q596" i="88"/>
  <c r="P597" i="88"/>
  <c r="Q597" i="88"/>
  <c r="P598" i="88"/>
  <c r="Q598" i="88"/>
  <c r="P599" i="88"/>
  <c r="Q599" i="88"/>
  <c r="P600" i="88"/>
  <c r="Q600" i="88"/>
  <c r="P601" i="88"/>
  <c r="Q601" i="88"/>
  <c r="P602" i="88"/>
  <c r="Q602" i="88"/>
  <c r="P603" i="88"/>
  <c r="Q603" i="88"/>
  <c r="P604" i="88"/>
  <c r="Q604" i="88"/>
  <c r="P605" i="88"/>
  <c r="Q605" i="88"/>
  <c r="P606" i="88"/>
  <c r="Q606" i="88"/>
  <c r="P607" i="88"/>
  <c r="Q607" i="88"/>
  <c r="P608" i="88"/>
  <c r="Q608" i="88"/>
  <c r="P609" i="88"/>
  <c r="Q609" i="88"/>
  <c r="P610" i="88"/>
  <c r="Q610" i="88"/>
  <c r="P611" i="88"/>
  <c r="Q611" i="88"/>
  <c r="P612" i="88"/>
  <c r="Q612" i="88"/>
  <c r="P613" i="88"/>
  <c r="Q613" i="88"/>
  <c r="P614" i="88"/>
  <c r="Q614" i="88"/>
  <c r="P615" i="88"/>
  <c r="Q615" i="88"/>
  <c r="P616" i="88"/>
  <c r="Q616" i="88"/>
  <c r="P617" i="88"/>
  <c r="Q617" i="88"/>
  <c r="P618" i="88"/>
  <c r="Q618" i="88"/>
  <c r="P619" i="88"/>
  <c r="Q619" i="88"/>
  <c r="P620" i="88"/>
  <c r="Q620" i="88"/>
  <c r="P621" i="88"/>
  <c r="Q621" i="88"/>
  <c r="P622" i="88"/>
  <c r="Q622" i="88"/>
  <c r="P623" i="88"/>
  <c r="Q623" i="88"/>
  <c r="P624" i="88"/>
  <c r="Q624" i="88"/>
  <c r="P625" i="88"/>
  <c r="Q625" i="88"/>
  <c r="P626" i="88"/>
  <c r="Q626" i="88"/>
  <c r="P627" i="88"/>
  <c r="Q627" i="88"/>
  <c r="P628" i="88"/>
  <c r="Q628" i="88"/>
  <c r="P629" i="88"/>
  <c r="Q629" i="88"/>
  <c r="P630" i="88"/>
  <c r="Q630" i="88"/>
  <c r="P631" i="88"/>
  <c r="Q631" i="88"/>
  <c r="P632" i="88"/>
  <c r="Q632" i="88"/>
  <c r="P633" i="88"/>
  <c r="Q633" i="88"/>
  <c r="P634" i="88"/>
  <c r="Q634" i="88"/>
  <c r="P635" i="88"/>
  <c r="Q635" i="88"/>
  <c r="P636" i="88"/>
  <c r="Q636" i="88"/>
  <c r="P637" i="88"/>
  <c r="Q637" i="88"/>
  <c r="P638" i="88"/>
  <c r="Q638" i="88"/>
  <c r="P639" i="88"/>
  <c r="Q639" i="88"/>
  <c r="P640" i="88"/>
  <c r="Q640" i="88"/>
  <c r="P641" i="88"/>
  <c r="Q641" i="88"/>
  <c r="P642" i="88"/>
  <c r="Q642" i="88"/>
  <c r="P643" i="88"/>
  <c r="Q643" i="88"/>
  <c r="P644" i="88"/>
  <c r="Q644" i="88"/>
  <c r="P645" i="88"/>
  <c r="Q645" i="88"/>
  <c r="P646" i="88"/>
  <c r="Q646" i="88"/>
  <c r="P647" i="88"/>
  <c r="Q647" i="88"/>
  <c r="P648" i="88"/>
  <c r="Q648" i="88"/>
  <c r="P649" i="88"/>
  <c r="Q649" i="88"/>
  <c r="P650" i="88"/>
  <c r="Q650" i="88"/>
  <c r="P651" i="88"/>
  <c r="Q651" i="88"/>
  <c r="P652" i="88"/>
  <c r="Q652" i="88"/>
  <c r="P653" i="88"/>
  <c r="Q653" i="88"/>
  <c r="P654" i="88"/>
  <c r="Q654" i="88"/>
  <c r="P655" i="88"/>
  <c r="Q655" i="88"/>
  <c r="P656" i="88"/>
  <c r="Q656" i="88"/>
  <c r="P657" i="88"/>
  <c r="Q657" i="88"/>
  <c r="P658" i="88"/>
  <c r="Q658" i="88"/>
  <c r="P659" i="88"/>
  <c r="Q659" i="88"/>
  <c r="P660" i="88"/>
  <c r="Q660" i="88"/>
  <c r="P661" i="88"/>
  <c r="Q661" i="88"/>
  <c r="P662" i="88"/>
  <c r="Q662" i="88"/>
  <c r="P663" i="88"/>
  <c r="Q663" i="88"/>
  <c r="P664" i="88"/>
  <c r="Q664" i="88"/>
  <c r="P665" i="88"/>
  <c r="Q665" i="88"/>
  <c r="P666" i="88"/>
  <c r="Q666" i="88"/>
  <c r="P667" i="88"/>
  <c r="Q667" i="88"/>
  <c r="P668" i="88"/>
  <c r="Q668" i="88"/>
  <c r="P669" i="88"/>
  <c r="Q669" i="88"/>
  <c r="P670" i="88"/>
  <c r="Q670" i="88"/>
  <c r="P671" i="88"/>
  <c r="Q671" i="88"/>
  <c r="P672" i="88"/>
  <c r="Q672" i="88"/>
  <c r="P673" i="88"/>
  <c r="Q673" i="88"/>
  <c r="P674" i="88"/>
  <c r="Q674" i="88"/>
  <c r="P675" i="88"/>
  <c r="Q675" i="88"/>
  <c r="P676" i="88"/>
  <c r="Q676" i="88"/>
  <c r="P677" i="88"/>
  <c r="Q677" i="88"/>
  <c r="P678" i="88"/>
  <c r="Q678" i="88"/>
  <c r="P679" i="88"/>
  <c r="Q679" i="88"/>
  <c r="P680" i="88"/>
  <c r="Q680" i="88"/>
  <c r="P681" i="88"/>
  <c r="Q681" i="88"/>
  <c r="P682" i="88"/>
  <c r="Q682" i="88"/>
  <c r="P683" i="88"/>
  <c r="Q683" i="88"/>
  <c r="P684" i="88"/>
  <c r="Q684" i="88"/>
  <c r="P685" i="88"/>
  <c r="Q685" i="88"/>
  <c r="P686" i="88"/>
  <c r="Q686" i="88"/>
  <c r="P687" i="88"/>
  <c r="Q687" i="88"/>
  <c r="P688" i="88"/>
  <c r="Q688" i="88"/>
  <c r="P689" i="88"/>
  <c r="Q689" i="88"/>
  <c r="P690" i="88"/>
  <c r="Q690" i="88"/>
  <c r="P691" i="88"/>
  <c r="Q691" i="88"/>
  <c r="P692" i="88"/>
  <c r="Q692" i="88"/>
  <c r="P693" i="88"/>
  <c r="Q693" i="88"/>
  <c r="P694" i="88"/>
  <c r="Q694" i="88"/>
  <c r="P695" i="88"/>
  <c r="Q695" i="88"/>
  <c r="P696" i="88"/>
  <c r="Q696" i="88"/>
  <c r="P697" i="88"/>
  <c r="Q697" i="88"/>
  <c r="P698" i="88"/>
  <c r="Q698" i="88"/>
  <c r="P699" i="88"/>
  <c r="Q699" i="88"/>
  <c r="P700" i="88"/>
  <c r="Q700" i="88"/>
  <c r="P701" i="88"/>
  <c r="Q701" i="88"/>
  <c r="P702" i="88"/>
  <c r="Q702" i="88"/>
  <c r="P703" i="88"/>
  <c r="Q703" i="88"/>
  <c r="P704" i="88"/>
  <c r="Q704" i="88"/>
  <c r="P705" i="88"/>
  <c r="Q705" i="88"/>
  <c r="P706" i="88"/>
  <c r="Q706" i="88"/>
  <c r="P707" i="88"/>
  <c r="Q707" i="88"/>
  <c r="P708" i="88"/>
  <c r="Q708" i="88"/>
  <c r="P709" i="88"/>
  <c r="Q709" i="88"/>
  <c r="P710" i="88"/>
  <c r="Q710" i="88"/>
  <c r="P711" i="88"/>
  <c r="Q711" i="88"/>
  <c r="P712" i="88"/>
  <c r="Q712" i="88"/>
  <c r="P713" i="88"/>
  <c r="Q713" i="88"/>
  <c r="P714" i="88"/>
  <c r="Q714" i="88"/>
  <c r="P715" i="88"/>
  <c r="Q715" i="88"/>
  <c r="P716" i="88"/>
  <c r="Q716" i="88"/>
  <c r="P717" i="88"/>
  <c r="Q717" i="88"/>
  <c r="P718" i="88"/>
  <c r="Q718" i="88"/>
  <c r="P719" i="88"/>
  <c r="Q719" i="88"/>
  <c r="P720" i="88"/>
  <c r="Q720" i="88"/>
  <c r="P721" i="88"/>
  <c r="Q721" i="88"/>
  <c r="P722" i="88"/>
  <c r="Q722" i="88"/>
  <c r="P723" i="88"/>
  <c r="Q723" i="88"/>
  <c r="P724" i="88"/>
  <c r="Q724" i="88"/>
  <c r="P725" i="88"/>
  <c r="Q725" i="88"/>
  <c r="P726" i="88"/>
  <c r="Q726" i="88"/>
  <c r="P727" i="88"/>
  <c r="Q727" i="88"/>
  <c r="P728" i="88"/>
  <c r="Q728" i="88"/>
  <c r="P729" i="88"/>
  <c r="Q729" i="88"/>
  <c r="P730" i="88"/>
  <c r="Q730" i="88"/>
  <c r="P731" i="88"/>
  <c r="Q731" i="88"/>
  <c r="P732" i="88"/>
  <c r="Q732" i="88"/>
  <c r="P733" i="88"/>
  <c r="Q733" i="88"/>
  <c r="P734" i="88"/>
  <c r="Q734" i="88"/>
  <c r="P735" i="88"/>
  <c r="Q735" i="88"/>
  <c r="P736" i="88"/>
  <c r="Q736" i="88"/>
  <c r="P737" i="88"/>
  <c r="Q737" i="88"/>
  <c r="P738" i="88"/>
  <c r="Q738" i="88"/>
  <c r="P739" i="88"/>
  <c r="Q739" i="88"/>
  <c r="P740" i="88"/>
  <c r="Q740" i="88"/>
  <c r="P741" i="88"/>
  <c r="Q741" i="88"/>
  <c r="P742" i="88"/>
  <c r="Q742" i="88"/>
  <c r="P743" i="88"/>
  <c r="Q743" i="88"/>
  <c r="P744" i="88"/>
  <c r="Q744" i="88"/>
  <c r="P745" i="88"/>
  <c r="Q745" i="88"/>
  <c r="P746" i="88"/>
  <c r="Q746" i="88"/>
  <c r="P747" i="88"/>
  <c r="Q747" i="88"/>
  <c r="P748" i="88"/>
  <c r="Q748" i="88"/>
  <c r="P749" i="88"/>
  <c r="Q749" i="88"/>
  <c r="P750" i="88"/>
  <c r="Q750" i="88"/>
  <c r="P751" i="88"/>
  <c r="Q751" i="88"/>
  <c r="P752" i="88"/>
  <c r="Q752" i="88"/>
  <c r="P753" i="88"/>
  <c r="Q753" i="88"/>
  <c r="P754" i="88"/>
  <c r="Q754" i="88"/>
  <c r="P755" i="88"/>
  <c r="Q755" i="88"/>
  <c r="P756" i="88"/>
  <c r="Q756" i="88"/>
  <c r="P757" i="88"/>
  <c r="Q757" i="88"/>
  <c r="P758" i="88"/>
  <c r="Q758" i="88"/>
  <c r="P759" i="88"/>
  <c r="Q759" i="88"/>
  <c r="P760" i="88"/>
  <c r="Q760" i="88"/>
  <c r="P761" i="88"/>
  <c r="Q761" i="88"/>
  <c r="P762" i="88"/>
  <c r="Q762" i="88"/>
  <c r="P763" i="88"/>
  <c r="Q763" i="88"/>
  <c r="P764" i="88"/>
  <c r="Q764" i="88"/>
  <c r="P765" i="88"/>
  <c r="Q765" i="88"/>
  <c r="P766" i="88"/>
  <c r="Q766" i="88"/>
  <c r="P767" i="88"/>
  <c r="Q767" i="88"/>
  <c r="P768" i="88"/>
  <c r="Q768" i="88"/>
  <c r="P769" i="88"/>
  <c r="Q769" i="88"/>
  <c r="P770" i="88"/>
  <c r="Q770" i="88"/>
  <c r="P771" i="88"/>
  <c r="Q771" i="88"/>
  <c r="P772" i="88"/>
  <c r="Q772" i="88"/>
  <c r="P773" i="88"/>
  <c r="Q773" i="88"/>
  <c r="P774" i="88"/>
  <c r="Q774" i="88"/>
  <c r="P775" i="88"/>
  <c r="Q775" i="88"/>
  <c r="P776" i="88"/>
  <c r="Q776" i="88"/>
  <c r="P777" i="88"/>
  <c r="Q777" i="88"/>
  <c r="P778" i="88"/>
  <c r="Q778" i="88"/>
  <c r="P779" i="88"/>
  <c r="Q779" i="88"/>
  <c r="P780" i="88"/>
  <c r="Q780" i="88"/>
  <c r="P781" i="88"/>
  <c r="Q781" i="88"/>
  <c r="P782" i="88"/>
  <c r="Q782" i="88"/>
  <c r="P783" i="88"/>
  <c r="Q783" i="88"/>
  <c r="P784" i="88"/>
  <c r="Q784" i="88"/>
  <c r="P785" i="88"/>
  <c r="Q785" i="88"/>
  <c r="P786" i="88"/>
  <c r="Q786" i="88"/>
  <c r="P787" i="88"/>
  <c r="Q787" i="88"/>
  <c r="P788" i="88"/>
  <c r="Q788" i="88"/>
  <c r="P789" i="88"/>
  <c r="Q789" i="88"/>
  <c r="P790" i="88"/>
  <c r="Q790" i="88"/>
  <c r="P791" i="88"/>
  <c r="Q791" i="88"/>
  <c r="P792" i="88"/>
  <c r="Q792" i="88"/>
  <c r="P793" i="88"/>
  <c r="Q793" i="88"/>
  <c r="P794" i="88"/>
  <c r="Q794" i="88"/>
  <c r="P795" i="88"/>
  <c r="Q795" i="88"/>
  <c r="P796" i="88"/>
  <c r="Q796" i="88"/>
  <c r="P797" i="88"/>
  <c r="Q797" i="88"/>
  <c r="P798" i="88"/>
  <c r="Q798" i="88"/>
  <c r="P799" i="88"/>
  <c r="Q799" i="88"/>
  <c r="P800" i="88"/>
  <c r="Q800" i="88"/>
  <c r="P801" i="88"/>
  <c r="Q801" i="88"/>
  <c r="P802" i="88"/>
  <c r="Q802" i="88"/>
  <c r="P803" i="88"/>
  <c r="Q803" i="88"/>
  <c r="P804" i="88"/>
  <c r="Q804" i="88"/>
  <c r="P805" i="88"/>
  <c r="Q805" i="88"/>
  <c r="P806" i="88"/>
  <c r="Q806" i="88"/>
  <c r="P807" i="88"/>
  <c r="Q807" i="88"/>
  <c r="P808" i="88"/>
  <c r="Q808" i="88"/>
  <c r="P809" i="88"/>
  <c r="Q809" i="88"/>
  <c r="P810" i="88"/>
  <c r="Q810" i="88"/>
  <c r="P811" i="88"/>
  <c r="Q811" i="88"/>
  <c r="P812" i="88"/>
  <c r="Q812" i="88"/>
  <c r="P813" i="88"/>
  <c r="Q813" i="88"/>
  <c r="P814" i="88"/>
  <c r="Q814" i="88"/>
  <c r="P815" i="88"/>
  <c r="Q815" i="88"/>
  <c r="P816" i="88"/>
  <c r="Q816" i="88"/>
  <c r="P817" i="88"/>
  <c r="Q817" i="88"/>
  <c r="P818" i="88"/>
  <c r="Q818" i="88"/>
  <c r="P819" i="88"/>
  <c r="Q819" i="88"/>
  <c r="P820" i="88"/>
  <c r="Q820" i="88"/>
  <c r="P821" i="88"/>
  <c r="Q821" i="88"/>
  <c r="P822" i="88"/>
  <c r="Q822" i="88"/>
  <c r="P823" i="88"/>
  <c r="Q823" i="88"/>
  <c r="P824" i="88"/>
  <c r="Q824" i="88"/>
  <c r="P825" i="88"/>
  <c r="Q825" i="88"/>
  <c r="P826" i="88"/>
  <c r="Q826" i="88"/>
  <c r="P827" i="88"/>
  <c r="Q827" i="88"/>
  <c r="P828" i="88"/>
  <c r="Q828" i="88"/>
  <c r="P829" i="88"/>
  <c r="Q829" i="88"/>
  <c r="P830" i="88"/>
  <c r="Q830" i="88"/>
  <c r="P831" i="88"/>
  <c r="Q831" i="88"/>
  <c r="P832" i="88"/>
  <c r="Q832" i="88"/>
  <c r="P833" i="88"/>
  <c r="Q833" i="88"/>
  <c r="P834" i="88"/>
  <c r="Q834" i="88"/>
  <c r="P835" i="88"/>
  <c r="Q835" i="88"/>
  <c r="P836" i="88"/>
  <c r="Q836" i="88"/>
  <c r="P837" i="88"/>
  <c r="Q837" i="88"/>
  <c r="P838" i="88"/>
  <c r="Q838" i="88"/>
  <c r="P839" i="88"/>
  <c r="Q839" i="88"/>
  <c r="P840" i="88"/>
  <c r="Q840" i="88"/>
  <c r="P841" i="88"/>
  <c r="Q841" i="88"/>
  <c r="P842" i="88"/>
  <c r="Q842" i="88"/>
  <c r="P843" i="88"/>
  <c r="Q843" i="88"/>
  <c r="P844" i="88"/>
  <c r="Q844" i="88"/>
  <c r="P845" i="88"/>
  <c r="Q845" i="88"/>
  <c r="P846" i="88"/>
  <c r="Q846" i="88"/>
  <c r="P847" i="88"/>
  <c r="Q847" i="88"/>
  <c r="P848" i="88"/>
  <c r="Q848" i="88"/>
  <c r="P849" i="88"/>
  <c r="Q849" i="88"/>
  <c r="P850" i="88"/>
  <c r="Q850" i="88"/>
  <c r="P851" i="88"/>
  <c r="Q851" i="88"/>
  <c r="P852" i="88"/>
  <c r="Q852" i="88"/>
  <c r="P853" i="88"/>
  <c r="Q853" i="88"/>
  <c r="P854" i="88"/>
  <c r="Q854" i="88"/>
  <c r="P855" i="88"/>
  <c r="Q855" i="88"/>
  <c r="P856" i="88"/>
  <c r="Q856" i="88"/>
  <c r="P857" i="88"/>
  <c r="Q857" i="88"/>
  <c r="P858" i="88"/>
  <c r="Q858" i="88"/>
  <c r="P859" i="88"/>
  <c r="Q859" i="88"/>
  <c r="P860" i="88"/>
  <c r="Q860" i="88"/>
  <c r="P861" i="88"/>
  <c r="Q861" i="88"/>
  <c r="P862" i="88"/>
  <c r="Q862" i="88"/>
  <c r="P863" i="88"/>
  <c r="Q863" i="88"/>
  <c r="P864" i="88"/>
  <c r="Q864" i="88"/>
  <c r="P865" i="88"/>
  <c r="Q865" i="88"/>
  <c r="P866" i="88"/>
  <c r="Q866" i="88"/>
  <c r="P867" i="88"/>
  <c r="Q867" i="88"/>
  <c r="P868" i="88"/>
  <c r="Q868" i="88"/>
  <c r="P869" i="88"/>
  <c r="Q869" i="88"/>
  <c r="P870" i="88"/>
  <c r="Q870" i="88"/>
  <c r="P871" i="88"/>
  <c r="Q871" i="88"/>
  <c r="P872" i="88"/>
  <c r="Q872" i="88"/>
  <c r="P873" i="88"/>
  <c r="Q873" i="88"/>
  <c r="P874" i="88"/>
  <c r="Q874" i="88"/>
  <c r="P875" i="88"/>
  <c r="Q875" i="88"/>
  <c r="P876" i="88"/>
  <c r="Q876" i="88"/>
  <c r="P877" i="88"/>
  <c r="Q877" i="88"/>
  <c r="P878" i="88"/>
  <c r="Q878" i="88"/>
  <c r="P879" i="88"/>
  <c r="Q879" i="88"/>
  <c r="P880" i="88"/>
  <c r="Q880" i="88"/>
  <c r="P881" i="88"/>
  <c r="Q881" i="88"/>
  <c r="P882" i="88"/>
  <c r="Q882" i="88"/>
  <c r="P883" i="88"/>
  <c r="Q883" i="88"/>
  <c r="P884" i="88"/>
  <c r="Q884" i="88"/>
  <c r="P885" i="88"/>
  <c r="Q885" i="88"/>
  <c r="P886" i="88"/>
  <c r="Q886" i="88"/>
  <c r="P887" i="88"/>
  <c r="Q887" i="88"/>
  <c r="P888" i="88"/>
  <c r="Q888" i="88"/>
  <c r="P889" i="88"/>
  <c r="Q889" i="88"/>
  <c r="P890" i="88"/>
  <c r="Q890" i="88"/>
  <c r="P891" i="88"/>
  <c r="Q891" i="88"/>
  <c r="P892" i="88"/>
  <c r="Q892" i="88"/>
  <c r="P893" i="88"/>
  <c r="Q893" i="88"/>
  <c r="P894" i="88"/>
  <c r="Q894" i="88"/>
  <c r="P895" i="88"/>
  <c r="Q895" i="88"/>
  <c r="P896" i="88"/>
  <c r="Q896" i="88"/>
  <c r="P897" i="88"/>
  <c r="Q897" i="88"/>
  <c r="P898" i="88"/>
  <c r="Q898" i="88"/>
  <c r="P899" i="88"/>
  <c r="Q899" i="88"/>
  <c r="P900" i="88"/>
  <c r="Q900" i="88"/>
  <c r="P901" i="88"/>
  <c r="Q901" i="88"/>
  <c r="P902" i="88"/>
  <c r="Q902" i="88"/>
  <c r="P903" i="88"/>
  <c r="Q903" i="88"/>
  <c r="P904" i="88"/>
  <c r="Q904" i="88"/>
  <c r="P905" i="88"/>
  <c r="Q905" i="88"/>
  <c r="P906" i="88"/>
  <c r="Q906" i="88"/>
  <c r="P907" i="88"/>
  <c r="Q907" i="88"/>
  <c r="P908" i="88"/>
  <c r="Q908" i="88"/>
  <c r="P909" i="88"/>
  <c r="Q909" i="88"/>
  <c r="P910" i="88"/>
  <c r="Q910" i="88"/>
  <c r="P911" i="88"/>
  <c r="Q911" i="88"/>
  <c r="P912" i="88"/>
  <c r="Q912" i="88"/>
  <c r="P913" i="88"/>
  <c r="Q913" i="88"/>
  <c r="P914" i="88"/>
  <c r="Q914" i="88"/>
  <c r="P915" i="88"/>
  <c r="Q915" i="88"/>
  <c r="P916" i="88"/>
  <c r="Q916" i="88"/>
  <c r="P917" i="88"/>
  <c r="Q917" i="88"/>
  <c r="P918" i="88"/>
  <c r="Q918" i="88"/>
  <c r="P919" i="88"/>
  <c r="Q919" i="88"/>
  <c r="P920" i="88"/>
  <c r="Q920" i="88"/>
  <c r="P921" i="88"/>
  <c r="Q921" i="88"/>
  <c r="P922" i="88"/>
  <c r="Q922" i="88"/>
  <c r="P923" i="88"/>
  <c r="Q923" i="88"/>
  <c r="P924" i="88"/>
  <c r="Q924" i="88"/>
  <c r="P925" i="88"/>
  <c r="Q925" i="88"/>
  <c r="P926" i="88"/>
  <c r="Q926" i="88"/>
  <c r="P927" i="88"/>
  <c r="Q927" i="88"/>
  <c r="P928" i="88"/>
  <c r="Q928" i="88"/>
  <c r="P929" i="88"/>
  <c r="Q929" i="88"/>
  <c r="P930" i="88"/>
  <c r="Q930" i="88"/>
  <c r="P931" i="88"/>
  <c r="Q931" i="88"/>
  <c r="P932" i="88"/>
  <c r="Q932" i="88"/>
  <c r="P933" i="88"/>
  <c r="Q933" i="88"/>
  <c r="P934" i="88"/>
  <c r="Q934" i="88"/>
  <c r="P935" i="88"/>
  <c r="Q935" i="88"/>
  <c r="P936" i="88"/>
  <c r="Q936" i="88"/>
  <c r="P937" i="88"/>
  <c r="Q937" i="88"/>
  <c r="P938" i="88"/>
  <c r="Q938" i="88"/>
  <c r="P939" i="88"/>
  <c r="Q939" i="88"/>
  <c r="P940" i="88"/>
  <c r="Q940" i="88"/>
  <c r="P941" i="88"/>
  <c r="Q941" i="88"/>
  <c r="P942" i="88"/>
  <c r="Q942" i="88"/>
  <c r="P943" i="88"/>
  <c r="Q943" i="88"/>
  <c r="P944" i="88"/>
  <c r="Q944" i="88"/>
  <c r="P945" i="88"/>
  <c r="Q945" i="88"/>
  <c r="P946" i="88"/>
  <c r="Q946" i="88"/>
  <c r="P947" i="88"/>
  <c r="Q947" i="88"/>
  <c r="P948" i="88"/>
  <c r="Q948" i="88"/>
  <c r="P949" i="88"/>
  <c r="Q949" i="88"/>
  <c r="P950" i="88"/>
  <c r="Q950" i="88"/>
  <c r="P951" i="88"/>
  <c r="Q951" i="88"/>
  <c r="P952" i="88"/>
  <c r="Q952" i="88"/>
  <c r="P953" i="88"/>
  <c r="Q953" i="88"/>
  <c r="P954" i="88"/>
  <c r="Q954" i="88"/>
  <c r="P955" i="88"/>
  <c r="Q955" i="88"/>
  <c r="P956" i="88"/>
  <c r="Q956" i="88"/>
  <c r="P957" i="88"/>
  <c r="Q957" i="88"/>
  <c r="P958" i="88"/>
  <c r="Q958" i="88"/>
  <c r="P959" i="88"/>
  <c r="Q959" i="88"/>
  <c r="P960" i="88"/>
  <c r="Q960" i="88"/>
  <c r="P961" i="88"/>
  <c r="Q961" i="88"/>
  <c r="P962" i="88"/>
  <c r="Q962" i="88"/>
  <c r="P963" i="88"/>
  <c r="Q963" i="88"/>
  <c r="P964" i="88"/>
  <c r="Q964" i="88"/>
  <c r="P965" i="88"/>
  <c r="Q965" i="88"/>
  <c r="P966" i="88"/>
  <c r="Q966" i="88"/>
  <c r="P967" i="88"/>
  <c r="Q967" i="88"/>
  <c r="P968" i="88"/>
  <c r="Q968" i="88"/>
  <c r="P969" i="88"/>
  <c r="Q969" i="88"/>
  <c r="P970" i="88"/>
  <c r="Q970" i="88"/>
  <c r="P971" i="88"/>
  <c r="Q971" i="88"/>
  <c r="P972" i="88"/>
  <c r="Q972" i="88"/>
  <c r="P973" i="88"/>
  <c r="Q973" i="88"/>
  <c r="P974" i="88"/>
  <c r="Q974" i="88"/>
  <c r="P975" i="88"/>
  <c r="Q975" i="88"/>
  <c r="P976" i="88"/>
  <c r="Q976" i="88"/>
  <c r="P977" i="88"/>
  <c r="Q977" i="88"/>
  <c r="P978" i="88"/>
  <c r="Q978" i="88"/>
  <c r="P979" i="88"/>
  <c r="Q979" i="88"/>
  <c r="P980" i="88"/>
  <c r="Q980" i="88"/>
  <c r="P981" i="88"/>
  <c r="Q981" i="88"/>
  <c r="P982" i="88"/>
  <c r="Q982" i="88"/>
  <c r="P983" i="88"/>
  <c r="Q983" i="88"/>
  <c r="P984" i="88"/>
  <c r="Q984" i="88"/>
  <c r="P985" i="88"/>
  <c r="Q985" i="88"/>
  <c r="P986" i="88"/>
  <c r="Q986" i="88"/>
  <c r="P987" i="88"/>
  <c r="Q987" i="88"/>
  <c r="P988" i="88"/>
  <c r="Q988" i="88"/>
  <c r="P989" i="88"/>
  <c r="Q989" i="88"/>
  <c r="P990" i="88"/>
  <c r="Q990" i="88"/>
  <c r="P991" i="88"/>
  <c r="Q991" i="88"/>
  <c r="P992" i="88"/>
  <c r="Q992" i="88"/>
  <c r="P993" i="88"/>
  <c r="Q993" i="88"/>
  <c r="P994" i="88"/>
  <c r="Q994" i="88"/>
  <c r="P995" i="88"/>
  <c r="Q995" i="88"/>
  <c r="P996" i="88"/>
  <c r="Q996" i="88"/>
  <c r="P997" i="88"/>
  <c r="Q997" i="88"/>
  <c r="P998" i="88"/>
  <c r="Q998" i="88"/>
  <c r="P999" i="88"/>
  <c r="Q999" i="88"/>
  <c r="P1000" i="88"/>
  <c r="Q1000" i="88"/>
  <c r="P1001" i="88"/>
  <c r="Q1001" i="88"/>
  <c r="P1002" i="88"/>
  <c r="Q1002" i="88"/>
  <c r="P1003" i="88"/>
  <c r="Q1003" i="88"/>
  <c r="P1004" i="88"/>
  <c r="Q1004" i="88"/>
  <c r="P1005" i="88"/>
  <c r="Q1005" i="88"/>
  <c r="P1006" i="88"/>
  <c r="Q1006" i="88"/>
  <c r="P1007" i="88"/>
  <c r="Q1007" i="88"/>
  <c r="P1008" i="88"/>
  <c r="Q1008" i="88"/>
  <c r="P1009" i="88"/>
  <c r="Q1009" i="88"/>
  <c r="P1010" i="88"/>
  <c r="Q1010" i="88"/>
  <c r="P1011" i="88"/>
  <c r="Q1011" i="88"/>
  <c r="P1012" i="88"/>
  <c r="Q1012" i="88"/>
  <c r="P1013" i="88"/>
  <c r="Q1013" i="88"/>
  <c r="P1014" i="88"/>
  <c r="Q1014" i="88"/>
  <c r="P1015" i="88"/>
  <c r="Q1015" i="88"/>
  <c r="P1016" i="88"/>
  <c r="Q1016" i="88"/>
  <c r="P1017" i="88"/>
  <c r="Q1017" i="88"/>
  <c r="P1018" i="88"/>
  <c r="Q1018" i="88"/>
  <c r="P1019" i="88"/>
  <c r="Q1019" i="88"/>
  <c r="P1020" i="88"/>
  <c r="Q1020" i="88"/>
  <c r="P1021" i="88"/>
  <c r="Q1021" i="88"/>
  <c r="P1022" i="88"/>
  <c r="Q1022" i="88"/>
  <c r="P1023" i="88"/>
  <c r="Q1023" i="88"/>
  <c r="P1024" i="88"/>
  <c r="Q1024" i="88"/>
  <c r="P1025" i="88"/>
  <c r="Q1025" i="88"/>
  <c r="P1026" i="88"/>
  <c r="Q1026" i="88"/>
  <c r="P1027" i="88"/>
  <c r="Q1027" i="88"/>
  <c r="P1028" i="88"/>
  <c r="Q1028" i="88"/>
  <c r="P1029" i="88"/>
  <c r="Q1029" i="88"/>
  <c r="P1030" i="88"/>
  <c r="Q1030" i="88"/>
  <c r="P1031" i="88"/>
  <c r="Q1031" i="88"/>
  <c r="P1032" i="88"/>
  <c r="Q1032" i="88"/>
  <c r="P1033" i="88"/>
  <c r="Q1033" i="88"/>
  <c r="P1034" i="88"/>
  <c r="Q1034" i="88"/>
  <c r="P1035" i="88"/>
  <c r="Q1035" i="88"/>
  <c r="P1036" i="88"/>
  <c r="Q1036" i="88"/>
  <c r="P1037" i="88"/>
  <c r="Q1037" i="88"/>
  <c r="P1038" i="88"/>
  <c r="Q1038" i="88"/>
  <c r="P1039" i="88"/>
  <c r="Q1039" i="88"/>
  <c r="P1040" i="88"/>
  <c r="Q1040" i="88"/>
  <c r="P1041" i="88"/>
  <c r="Q1041" i="88"/>
  <c r="P1042" i="88"/>
  <c r="Q1042" i="88"/>
  <c r="P1043" i="88"/>
  <c r="Q1043" i="88"/>
  <c r="P1044" i="88"/>
  <c r="Q1044" i="88"/>
  <c r="P1045" i="88"/>
  <c r="Q1045" i="88"/>
  <c r="P1046" i="88"/>
  <c r="Q1046" i="88"/>
  <c r="P1047" i="88"/>
  <c r="Q1047" i="88"/>
  <c r="P1048" i="88"/>
  <c r="Q1048" i="88"/>
  <c r="P1049" i="88"/>
  <c r="Q1049" i="88"/>
  <c r="P1050" i="88"/>
  <c r="Q1050" i="88"/>
  <c r="P1051" i="88"/>
  <c r="Q1051" i="88"/>
  <c r="P1052" i="88"/>
  <c r="Q1052" i="88"/>
  <c r="P1053" i="88"/>
  <c r="Q1053" i="88"/>
  <c r="P1054" i="88"/>
  <c r="Q1054" i="88"/>
  <c r="P1055" i="88"/>
  <c r="Q1055" i="88"/>
  <c r="P1056" i="88"/>
  <c r="Q1056" i="88"/>
  <c r="P1057" i="88"/>
  <c r="Q1057" i="88"/>
  <c r="P1058" i="88"/>
  <c r="Q1058" i="88"/>
  <c r="P1059" i="88"/>
  <c r="Q1059" i="88"/>
  <c r="P1060" i="88"/>
  <c r="Q1060" i="88"/>
  <c r="P1061" i="88"/>
  <c r="Q1061" i="88"/>
  <c r="P1062" i="88"/>
  <c r="Q1062" i="88"/>
  <c r="P1063" i="88"/>
  <c r="Q1063" i="88"/>
  <c r="P1064" i="88"/>
  <c r="Q1064" i="88"/>
  <c r="P1065" i="88"/>
  <c r="Q1065" i="88"/>
  <c r="P1066" i="88"/>
  <c r="Q1066" i="88"/>
  <c r="P1067" i="88"/>
  <c r="Q1067" i="88"/>
  <c r="P1068" i="88"/>
  <c r="Q1068" i="88"/>
  <c r="P1069" i="88"/>
  <c r="Q1069" i="88"/>
  <c r="P1070" i="88"/>
  <c r="Q1070" i="88"/>
  <c r="P1071" i="88"/>
  <c r="Q1071" i="88"/>
  <c r="P1072" i="88"/>
  <c r="Q1072" i="88"/>
  <c r="P1073" i="88"/>
  <c r="Q1073" i="88"/>
  <c r="P1074" i="88"/>
  <c r="Q1074" i="88"/>
  <c r="P1075" i="88"/>
  <c r="Q1075" i="88"/>
  <c r="P1076" i="88"/>
  <c r="Q1076" i="88"/>
  <c r="P1077" i="88"/>
  <c r="Q1077" i="88"/>
  <c r="P1078" i="88"/>
  <c r="Q1078" i="88"/>
  <c r="P1079" i="88"/>
  <c r="Q1079" i="88"/>
  <c r="P1080" i="88"/>
  <c r="Q1080" i="88"/>
  <c r="P1081" i="88"/>
  <c r="Q1081" i="88"/>
  <c r="P1082" i="88"/>
  <c r="Q1082" i="88"/>
  <c r="P1083" i="88"/>
  <c r="Q1083" i="88"/>
  <c r="P1084" i="88"/>
  <c r="Q1084" i="88"/>
  <c r="P1085" i="88"/>
  <c r="Q1085" i="88"/>
  <c r="P1086" i="88"/>
  <c r="Q1086" i="88"/>
  <c r="P1087" i="88"/>
  <c r="Q1087" i="88"/>
  <c r="P1088" i="88"/>
  <c r="Q1088" i="88"/>
  <c r="P1089" i="88"/>
  <c r="Q1089" i="88"/>
  <c r="P1090" i="88"/>
  <c r="Q1090" i="88"/>
  <c r="P1091" i="88"/>
  <c r="Q1091" i="88"/>
  <c r="P1092" i="88"/>
  <c r="Q1092" i="88"/>
  <c r="P1093" i="88"/>
  <c r="Q1093" i="88"/>
  <c r="P1094" i="88"/>
  <c r="Q1094" i="88"/>
  <c r="P1095" i="88"/>
  <c r="Q1095" i="88"/>
  <c r="P1096" i="88"/>
  <c r="Q1096" i="88"/>
  <c r="P1097" i="88"/>
  <c r="Q1097" i="88"/>
  <c r="P1098" i="88"/>
  <c r="Q1098" i="88"/>
  <c r="P1099" i="88"/>
  <c r="Q1099" i="88"/>
  <c r="P1100" i="88"/>
  <c r="Q1100" i="88"/>
  <c r="P1101" i="88"/>
  <c r="Q1101" i="88"/>
  <c r="P1102" i="88"/>
  <c r="Q1102" i="88"/>
  <c r="P1103" i="88"/>
  <c r="Q1103" i="88"/>
  <c r="P1104" i="88"/>
  <c r="Q1104" i="88"/>
  <c r="P1105" i="88"/>
  <c r="Q1105" i="88"/>
  <c r="P1106" i="88"/>
  <c r="Q1106" i="88"/>
  <c r="P1107" i="88"/>
  <c r="Q1107" i="88"/>
  <c r="P1108" i="88"/>
  <c r="Q1108" i="88"/>
  <c r="P1109" i="88"/>
  <c r="Q1109" i="88"/>
  <c r="P1110" i="88"/>
  <c r="Q1110" i="88"/>
  <c r="P1111" i="88"/>
  <c r="Q1111" i="88"/>
  <c r="P1112" i="88"/>
  <c r="Q1112" i="88"/>
  <c r="P1113" i="88"/>
  <c r="Q1113" i="88"/>
  <c r="P1114" i="88"/>
  <c r="Q1114" i="88"/>
  <c r="P1115" i="88"/>
  <c r="Q1115" i="88"/>
  <c r="P1116" i="88"/>
  <c r="Q1116" i="88"/>
  <c r="P1117" i="88"/>
  <c r="Q1117" i="88"/>
  <c r="P1118" i="88"/>
  <c r="Q1118" i="88"/>
  <c r="P1119" i="88"/>
  <c r="Q1119" i="88"/>
  <c r="P1120" i="88"/>
  <c r="Q1120" i="88"/>
  <c r="P1121" i="88"/>
  <c r="Q1121" i="88"/>
  <c r="P1122" i="88"/>
  <c r="Q1122" i="88"/>
  <c r="P1123" i="88"/>
  <c r="Q1123" i="88"/>
  <c r="P1124" i="88"/>
  <c r="Q1124" i="88"/>
  <c r="P1125" i="88"/>
  <c r="Q1125" i="88"/>
  <c r="P1126" i="88"/>
  <c r="Q1126" i="88"/>
  <c r="P1127" i="88"/>
  <c r="Q1127" i="88"/>
  <c r="P1128" i="88"/>
  <c r="Q1128" i="88"/>
  <c r="P1129" i="88"/>
  <c r="Q1129" i="88"/>
  <c r="P1130" i="88"/>
  <c r="Q1130" i="88"/>
  <c r="P1131" i="88"/>
  <c r="Q1131" i="88"/>
  <c r="P1132" i="88"/>
  <c r="Q1132" i="88"/>
  <c r="P1133" i="88"/>
  <c r="Q1133" i="88"/>
  <c r="P1134" i="88"/>
  <c r="Q1134" i="88"/>
  <c r="P1135" i="88"/>
  <c r="Q1135" i="88"/>
  <c r="P1136" i="88"/>
  <c r="Q1136" i="88"/>
  <c r="P1137" i="88"/>
  <c r="Q1137" i="88"/>
  <c r="P1138" i="88"/>
  <c r="Q1138" i="88"/>
  <c r="P1139" i="88"/>
  <c r="Q1139" i="88"/>
  <c r="P1140" i="88"/>
  <c r="Q1140" i="88"/>
  <c r="P1141" i="88"/>
  <c r="Q1141" i="88"/>
  <c r="P1142" i="88"/>
  <c r="Q1142" i="88"/>
  <c r="G4" i="108"/>
  <c r="H4" i="108"/>
  <c r="J13" i="108" s="1"/>
  <c r="G5" i="108"/>
  <c r="H5" i="108"/>
  <c r="G9" i="108"/>
  <c r="H9" i="108"/>
  <c r="J15" i="106"/>
  <c r="P3" i="106" s="1"/>
  <c r="R3" i="106" s="1"/>
  <c r="S3" i="106"/>
  <c r="T3" i="106" a="1"/>
  <c r="T3" i="106"/>
  <c r="U3" i="106"/>
  <c r="S4" i="106"/>
  <c r="P4" i="106"/>
  <c r="R4" i="106"/>
  <c r="S5" i="106"/>
  <c r="P5" i="106"/>
  <c r="R5" i="106"/>
  <c r="S6" i="106"/>
  <c r="S7" i="106"/>
  <c r="S8" i="106"/>
  <c r="S9" i="106"/>
  <c r="S10" i="106"/>
  <c r="S11" i="106"/>
  <c r="S12" i="106"/>
  <c r="S13" i="106"/>
  <c r="S14" i="106"/>
  <c r="S15" i="106"/>
  <c r="S16" i="106"/>
  <c r="S17" i="106"/>
  <c r="S18" i="106"/>
  <c r="S19" i="106"/>
  <c r="S20" i="106"/>
  <c r="S21" i="106"/>
  <c r="S22" i="106"/>
  <c r="S23" i="106"/>
  <c r="S24" i="106"/>
  <c r="S25" i="106"/>
  <c r="S26" i="106"/>
  <c r="S27" i="106"/>
  <c r="S28" i="106"/>
  <c r="S29" i="106"/>
  <c r="S30" i="106"/>
  <c r="S31" i="106"/>
  <c r="S32" i="106"/>
  <c r="S33" i="106"/>
  <c r="S34" i="106"/>
  <c r="S35" i="106"/>
  <c r="S36" i="106"/>
  <c r="S37" i="106"/>
  <c r="S38" i="106"/>
  <c r="S39" i="106"/>
  <c r="S40" i="106"/>
  <c r="S41" i="106"/>
  <c r="S42" i="106"/>
  <c r="S43" i="106"/>
  <c r="S44" i="106"/>
  <c r="S45" i="106"/>
  <c r="S46" i="106"/>
  <c r="S47" i="106"/>
  <c r="S48" i="106"/>
  <c r="S49" i="106"/>
  <c r="S50" i="106"/>
  <c r="S51" i="106"/>
  <c r="S52" i="106"/>
  <c r="S53" i="106"/>
  <c r="S54" i="106"/>
  <c r="S55" i="106"/>
  <c r="S56" i="106"/>
  <c r="S57" i="106"/>
  <c r="S58" i="106"/>
  <c r="S59" i="106"/>
  <c r="S60" i="106"/>
  <c r="S61" i="106"/>
  <c r="S62" i="106"/>
  <c r="P6" i="106"/>
  <c r="R6" i="106" s="1"/>
  <c r="P7" i="106"/>
  <c r="R7" i="106"/>
  <c r="P8" i="106"/>
  <c r="R8" i="106" s="1"/>
  <c r="P9" i="106"/>
  <c r="R9" i="106"/>
  <c r="P10" i="106"/>
  <c r="R10" i="106" s="1"/>
  <c r="P11" i="106"/>
  <c r="R11" i="106" s="1"/>
  <c r="P12" i="106"/>
  <c r="R12" i="106"/>
  <c r="P13" i="106"/>
  <c r="R13" i="106"/>
  <c r="P14" i="106"/>
  <c r="R14" i="106" s="1"/>
  <c r="P15" i="106"/>
  <c r="R15" i="106"/>
  <c r="P16" i="106"/>
  <c r="R16" i="106" s="1"/>
  <c r="P17" i="106"/>
  <c r="R17" i="106" s="1"/>
  <c r="P18" i="106"/>
  <c r="R18" i="106" s="1"/>
  <c r="P19" i="106"/>
  <c r="R19" i="106" s="1"/>
  <c r="P20" i="106"/>
  <c r="R20" i="106"/>
  <c r="P21" i="106"/>
  <c r="R21" i="106"/>
  <c r="P22" i="106"/>
  <c r="R22" i="106" s="1"/>
  <c r="P23" i="106"/>
  <c r="R23" i="106"/>
  <c r="P24" i="106"/>
  <c r="R24" i="106" s="1"/>
  <c r="P25" i="106"/>
  <c r="R25" i="106"/>
  <c r="P26" i="106"/>
  <c r="R26" i="106" s="1"/>
  <c r="P27" i="106"/>
  <c r="R27" i="106" s="1"/>
  <c r="P28" i="106"/>
  <c r="R28" i="106"/>
  <c r="P29" i="106"/>
  <c r="R29" i="106"/>
  <c r="P30" i="106"/>
  <c r="R30" i="106" s="1"/>
  <c r="P31" i="106"/>
  <c r="R31" i="106" s="1"/>
  <c r="P32" i="106"/>
  <c r="R32" i="106" s="1"/>
  <c r="P33" i="106"/>
  <c r="R33" i="106"/>
  <c r="P34" i="106"/>
  <c r="R34" i="106" s="1"/>
  <c r="P35" i="106"/>
  <c r="R35" i="106" s="1"/>
  <c r="P36" i="106"/>
  <c r="R36" i="106"/>
  <c r="P37" i="106"/>
  <c r="R37" i="106"/>
  <c r="P38" i="106"/>
  <c r="R38" i="106" s="1"/>
  <c r="P39" i="106"/>
  <c r="R39" i="106" s="1"/>
  <c r="P40" i="106"/>
  <c r="R40" i="106" s="1"/>
  <c r="P41" i="106"/>
  <c r="R41" i="106"/>
  <c r="P42" i="106"/>
  <c r="R42" i="106" s="1"/>
  <c r="P43" i="106"/>
  <c r="R43" i="106" s="1"/>
  <c r="P44" i="106"/>
  <c r="R44" i="106"/>
  <c r="P45" i="106"/>
  <c r="R45" i="106"/>
  <c r="P46" i="106"/>
  <c r="R46" i="106" s="1"/>
  <c r="P47" i="106"/>
  <c r="R47" i="106"/>
  <c r="P48" i="106"/>
  <c r="R48" i="106" s="1"/>
  <c r="P49" i="106"/>
  <c r="R49" i="106" s="1"/>
  <c r="P50" i="106"/>
  <c r="R50" i="106" s="1"/>
  <c r="P51" i="106"/>
  <c r="R51" i="106" s="1"/>
  <c r="P52" i="106"/>
  <c r="R52" i="106"/>
  <c r="P53" i="106"/>
  <c r="R53" i="106"/>
  <c r="P54" i="106"/>
  <c r="R54" i="106" s="1"/>
  <c r="P55" i="106"/>
  <c r="R55" i="106" s="1"/>
  <c r="P56" i="106"/>
  <c r="R56" i="106" s="1"/>
  <c r="P57" i="106"/>
  <c r="R57" i="106"/>
  <c r="P58" i="106"/>
  <c r="R58" i="106" s="1"/>
  <c r="P59" i="106"/>
  <c r="R59" i="106" s="1"/>
  <c r="P60" i="106"/>
  <c r="R60" i="106"/>
  <c r="P61" i="106"/>
  <c r="R61" i="106"/>
  <c r="P62" i="106"/>
  <c r="R62" i="106" s="1"/>
  <c r="H4" i="106"/>
  <c r="I4" i="106"/>
  <c r="H5" i="106" s="1"/>
  <c r="J4" i="106"/>
  <c r="H6" i="106" s="1"/>
  <c r="U4" i="106"/>
  <c r="I5" i="106"/>
  <c r="J5" i="106"/>
  <c r="U5" i="106"/>
  <c r="I6" i="106"/>
  <c r="J6" i="106"/>
  <c r="U6" i="106"/>
  <c r="U7" i="106"/>
  <c r="U8" i="106"/>
  <c r="U9" i="106"/>
  <c r="H10" i="106"/>
  <c r="I10" i="106"/>
  <c r="J10" i="106"/>
  <c r="U10" i="106"/>
  <c r="U11" i="106"/>
  <c r="U12" i="106"/>
  <c r="U13" i="106"/>
  <c r="U14" i="106"/>
  <c r="U15" i="106"/>
  <c r="U16" i="106"/>
  <c r="U17" i="106"/>
  <c r="U18" i="106"/>
  <c r="H19" i="106"/>
  <c r="U19" i="106"/>
  <c r="U20" i="106"/>
  <c r="U21" i="106"/>
  <c r="U22" i="106"/>
  <c r="U23" i="106"/>
  <c r="U24" i="106"/>
  <c r="U25" i="106"/>
  <c r="U26" i="106"/>
  <c r="U27" i="106"/>
  <c r="U28" i="106"/>
  <c r="U29" i="106"/>
  <c r="U30" i="106"/>
  <c r="U31" i="106"/>
  <c r="U32" i="106"/>
  <c r="U33" i="106"/>
  <c r="U34" i="106"/>
  <c r="U35" i="106"/>
  <c r="U36" i="106"/>
  <c r="U37" i="106"/>
  <c r="U38" i="106"/>
  <c r="U39" i="106"/>
  <c r="U40" i="106"/>
  <c r="U41" i="106"/>
  <c r="U42" i="106"/>
  <c r="U43" i="106"/>
  <c r="U44" i="106"/>
  <c r="U45" i="106"/>
  <c r="U46" i="106"/>
  <c r="U47" i="106"/>
  <c r="U48" i="106"/>
  <c r="U49" i="106"/>
  <c r="U50" i="106"/>
  <c r="U51" i="106"/>
  <c r="U52" i="106"/>
  <c r="U53" i="106"/>
  <c r="U54" i="106"/>
  <c r="U55" i="106"/>
  <c r="U56" i="106"/>
  <c r="U57" i="106"/>
  <c r="U58" i="106"/>
  <c r="U59" i="106"/>
  <c r="U60" i="106"/>
  <c r="U61" i="106"/>
  <c r="U62" i="106"/>
  <c r="H13" i="103"/>
  <c r="N54" i="103" s="1"/>
  <c r="P54" i="103" s="1"/>
  <c r="R3" i="103"/>
  <c r="S3" i="103"/>
  <c r="T3" i="103"/>
  <c r="R4" i="103"/>
  <c r="R5" i="103"/>
  <c r="R6" i="103"/>
  <c r="R7" i="103"/>
  <c r="R8" i="103"/>
  <c r="R9" i="103"/>
  <c r="R10" i="103"/>
  <c r="R11" i="103"/>
  <c r="R12" i="103"/>
  <c r="R13" i="103"/>
  <c r="R14" i="103"/>
  <c r="R15" i="103"/>
  <c r="R16" i="103"/>
  <c r="R17" i="103"/>
  <c r="R18" i="103"/>
  <c r="R19" i="103"/>
  <c r="R20" i="103"/>
  <c r="R21" i="103"/>
  <c r="R22" i="103"/>
  <c r="R23" i="103"/>
  <c r="R24" i="103"/>
  <c r="R25" i="103"/>
  <c r="R26" i="103"/>
  <c r="R27" i="103"/>
  <c r="R28" i="103"/>
  <c r="R29" i="103"/>
  <c r="R30" i="103"/>
  <c r="R31" i="103"/>
  <c r="R32" i="103"/>
  <c r="R33" i="103"/>
  <c r="R34" i="103"/>
  <c r="R35" i="103"/>
  <c r="R36" i="103"/>
  <c r="R37" i="103"/>
  <c r="R38" i="103"/>
  <c r="R39" i="103"/>
  <c r="R40" i="103"/>
  <c r="R41" i="103"/>
  <c r="R42" i="103"/>
  <c r="R43" i="103"/>
  <c r="R44" i="103"/>
  <c r="R45" i="103"/>
  <c r="R46" i="103"/>
  <c r="R47" i="103"/>
  <c r="R48" i="103"/>
  <c r="R49" i="103"/>
  <c r="R50" i="103"/>
  <c r="R51" i="103"/>
  <c r="R52" i="103"/>
  <c r="R53" i="103"/>
  <c r="R54" i="103"/>
  <c r="R55" i="103"/>
  <c r="R56" i="103"/>
  <c r="R57" i="103"/>
  <c r="R58" i="103"/>
  <c r="R59" i="103"/>
  <c r="R60" i="103"/>
  <c r="R61" i="103"/>
  <c r="N44" i="103"/>
  <c r="P44" i="103" s="1"/>
  <c r="S4" i="103"/>
  <c r="T4" i="103"/>
  <c r="H5" i="103"/>
  <c r="I5" i="103"/>
  <c r="H6" i="103" s="1"/>
  <c r="S5" i="103"/>
  <c r="T5" i="103"/>
  <c r="I6" i="103"/>
  <c r="S6" i="103"/>
  <c r="T6" i="103"/>
  <c r="S7" i="103"/>
  <c r="T7" i="103"/>
  <c r="S8" i="103"/>
  <c r="T8" i="103"/>
  <c r="H9" i="103"/>
  <c r="I13" i="103" s="1"/>
  <c r="I9" i="103"/>
  <c r="S9" i="103"/>
  <c r="T9" i="103"/>
  <c r="S10" i="103"/>
  <c r="T10" i="103"/>
  <c r="S11" i="103"/>
  <c r="T11" i="103"/>
  <c r="S12" i="103"/>
  <c r="T12" i="103"/>
  <c r="S13" i="103"/>
  <c r="T13" i="103"/>
  <c r="S14" i="103"/>
  <c r="T14" i="103"/>
  <c r="S15" i="103"/>
  <c r="T15" i="103"/>
  <c r="S16" i="103"/>
  <c r="T16" i="103"/>
  <c r="S17" i="103"/>
  <c r="T17" i="103"/>
  <c r="S18" i="103"/>
  <c r="T18" i="103"/>
  <c r="S19" i="103"/>
  <c r="T19" i="103"/>
  <c r="S20" i="103"/>
  <c r="T20" i="103"/>
  <c r="S21" i="103"/>
  <c r="T21" i="103"/>
  <c r="S22" i="103"/>
  <c r="T22" i="103"/>
  <c r="S23" i="103"/>
  <c r="T23" i="103"/>
  <c r="S24" i="103"/>
  <c r="T24" i="103"/>
  <c r="S25" i="103"/>
  <c r="T25" i="103"/>
  <c r="S26" i="103"/>
  <c r="T26" i="103"/>
  <c r="S27" i="103"/>
  <c r="T27" i="103"/>
  <c r="S28" i="103"/>
  <c r="T28" i="103"/>
  <c r="S29" i="103"/>
  <c r="T29" i="103"/>
  <c r="S30" i="103"/>
  <c r="T30" i="103"/>
  <c r="S31" i="103"/>
  <c r="T31" i="103"/>
  <c r="S32" i="103"/>
  <c r="T32" i="103"/>
  <c r="S33" i="103"/>
  <c r="T33" i="103"/>
  <c r="S34" i="103"/>
  <c r="T34" i="103"/>
  <c r="S35" i="103"/>
  <c r="T35" i="103"/>
  <c r="S36" i="103"/>
  <c r="T36" i="103"/>
  <c r="S37" i="103"/>
  <c r="T37" i="103"/>
  <c r="S38" i="103"/>
  <c r="T38" i="103"/>
  <c r="S39" i="103"/>
  <c r="T39" i="103"/>
  <c r="S40" i="103"/>
  <c r="T40" i="103"/>
  <c r="S41" i="103"/>
  <c r="T41" i="103"/>
  <c r="S42" i="103"/>
  <c r="T42" i="103"/>
  <c r="S43" i="103"/>
  <c r="T43" i="103"/>
  <c r="S44" i="103"/>
  <c r="T44" i="103"/>
  <c r="S45" i="103"/>
  <c r="T45" i="103"/>
  <c r="S46" i="103"/>
  <c r="T46" i="103"/>
  <c r="S47" i="103"/>
  <c r="T47" i="103"/>
  <c r="S48" i="103"/>
  <c r="T48" i="103"/>
  <c r="S49" i="103"/>
  <c r="T49" i="103"/>
  <c r="S50" i="103"/>
  <c r="T50" i="103"/>
  <c r="S51" i="103"/>
  <c r="T51" i="103"/>
  <c r="S52" i="103"/>
  <c r="T52" i="103"/>
  <c r="S53" i="103"/>
  <c r="T53" i="103"/>
  <c r="S54" i="103"/>
  <c r="T54" i="103"/>
  <c r="S55" i="103"/>
  <c r="T55" i="103"/>
  <c r="S56" i="103"/>
  <c r="T56" i="103"/>
  <c r="S57" i="103"/>
  <c r="T57" i="103"/>
  <c r="S58" i="103"/>
  <c r="T58" i="103"/>
  <c r="S59" i="103"/>
  <c r="T59" i="103"/>
  <c r="S60" i="103"/>
  <c r="T60" i="103"/>
  <c r="S61" i="103"/>
  <c r="T61" i="103"/>
  <c r="A3" i="105"/>
  <c r="F13" i="105"/>
  <c r="L3" i="105"/>
  <c r="N3" i="105"/>
  <c r="P3" i="105"/>
  <c r="Q3" i="105"/>
  <c r="P4" i="105"/>
  <c r="Q4" i="105"/>
  <c r="F5" i="105"/>
  <c r="G5" i="105"/>
  <c r="L5" i="105"/>
  <c r="N5" i="105" s="1"/>
  <c r="P5" i="105"/>
  <c r="Q5" i="105"/>
  <c r="F6" i="105"/>
  <c r="G6" i="105"/>
  <c r="L6" i="105"/>
  <c r="N6" i="105"/>
  <c r="P6" i="105"/>
  <c r="Q6" i="105"/>
  <c r="P7" i="105"/>
  <c r="Q7" i="105"/>
  <c r="L8" i="105"/>
  <c r="N8" i="105"/>
  <c r="P8" i="105"/>
  <c r="Q8" i="105"/>
  <c r="P9" i="105"/>
  <c r="L9" i="105"/>
  <c r="N9" i="105" s="1"/>
  <c r="P10" i="105"/>
  <c r="L10" i="105"/>
  <c r="N10" i="105" s="1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L11" i="105"/>
  <c r="N11" i="105"/>
  <c r="L13" i="105"/>
  <c r="N13" i="105" s="1"/>
  <c r="L14" i="105"/>
  <c r="N14" i="105" s="1"/>
  <c r="L15" i="105"/>
  <c r="N15" i="105" s="1"/>
  <c r="L17" i="105"/>
  <c r="N17" i="105"/>
  <c r="L18" i="105"/>
  <c r="N18" i="105"/>
  <c r="L19" i="105"/>
  <c r="N19" i="105" s="1"/>
  <c r="L21" i="105"/>
  <c r="N21" i="105"/>
  <c r="L22" i="105"/>
  <c r="N22" i="105" s="1"/>
  <c r="L23" i="105"/>
  <c r="N23" i="105" s="1"/>
  <c r="L26" i="105"/>
  <c r="N26" i="105"/>
  <c r="Q9" i="105"/>
  <c r="Q10" i="105"/>
  <c r="Q11" i="105"/>
  <c r="Q12" i="105"/>
  <c r="Q13" i="105"/>
  <c r="Q14" i="105"/>
  <c r="Q15" i="105"/>
  <c r="Q16" i="105"/>
  <c r="Q17" i="105"/>
  <c r="Q18" i="105"/>
  <c r="Q19" i="105"/>
  <c r="Q20" i="105"/>
  <c r="Q21" i="105"/>
  <c r="Q22" i="105"/>
  <c r="Q23" i="105"/>
  <c r="Q24" i="105"/>
  <c r="Q25" i="105"/>
  <c r="Q26" i="105"/>
  <c r="F9" i="105"/>
  <c r="G9" i="105"/>
  <c r="G13" i="105"/>
  <c r="J13" i="105" s="1"/>
  <c r="H13" i="105"/>
  <c r="I13" i="105" s="1"/>
  <c r="P27" i="105"/>
  <c r="Q27" i="105"/>
  <c r="L28" i="105"/>
  <c r="N28" i="105" s="1"/>
  <c r="P28" i="105"/>
  <c r="Q28" i="105"/>
  <c r="P29" i="105"/>
  <c r="Q29" i="105"/>
  <c r="L30" i="105"/>
  <c r="N30" i="105"/>
  <c r="P30" i="105"/>
  <c r="Q30" i="105"/>
  <c r="P31" i="105"/>
  <c r="Q31" i="105"/>
  <c r="L32" i="105"/>
  <c r="N32" i="105" s="1"/>
  <c r="P32" i="105"/>
  <c r="Q32" i="105"/>
  <c r="P33" i="105"/>
  <c r="Q33" i="105"/>
  <c r="L34" i="105"/>
  <c r="N34" i="105" s="1"/>
  <c r="P34" i="105"/>
  <c r="Q34" i="105"/>
  <c r="P35" i="105"/>
  <c r="Q35" i="105"/>
  <c r="L36" i="105"/>
  <c r="N36" i="105" s="1"/>
  <c r="P36" i="105"/>
  <c r="Q36" i="105"/>
  <c r="P37" i="105"/>
  <c r="Q37" i="105"/>
  <c r="L38" i="105"/>
  <c r="N38" i="105"/>
  <c r="P38" i="105"/>
  <c r="Q38" i="105"/>
  <c r="L39" i="105"/>
  <c r="N39" i="105"/>
  <c r="P39" i="105"/>
  <c r="Q39" i="105"/>
  <c r="L40" i="105"/>
  <c r="N40" i="105" s="1"/>
  <c r="P40" i="105"/>
  <c r="Q40" i="105"/>
  <c r="P41" i="105"/>
  <c r="Q41" i="105"/>
  <c r="L42" i="105"/>
  <c r="N42" i="105"/>
  <c r="P42" i="105"/>
  <c r="Q42" i="105"/>
  <c r="L43" i="105"/>
  <c r="N43" i="105"/>
  <c r="P43" i="105"/>
  <c r="Q43" i="105"/>
  <c r="L44" i="105"/>
  <c r="N44" i="105" s="1"/>
  <c r="P44" i="105"/>
  <c r="Q44" i="105"/>
  <c r="P45" i="105"/>
  <c r="Q45" i="105"/>
  <c r="L46" i="105"/>
  <c r="N46" i="105"/>
  <c r="P46" i="105"/>
  <c r="Q46" i="105"/>
  <c r="L47" i="105"/>
  <c r="N47" i="105"/>
  <c r="P47" i="105"/>
  <c r="Q47" i="105"/>
  <c r="L48" i="105"/>
  <c r="N48" i="105" s="1"/>
  <c r="P48" i="105"/>
  <c r="Q48" i="105"/>
  <c r="P49" i="105"/>
  <c r="Q49" i="105"/>
  <c r="L50" i="105"/>
  <c r="N50" i="105"/>
  <c r="P50" i="105"/>
  <c r="Q50" i="105"/>
  <c r="L51" i="105"/>
  <c r="N51" i="105"/>
  <c r="P51" i="105"/>
  <c r="Q51" i="105"/>
  <c r="L52" i="105"/>
  <c r="N52" i="105" s="1"/>
  <c r="P52" i="105"/>
  <c r="Q52" i="105"/>
  <c r="L53" i="105"/>
  <c r="N53" i="105"/>
  <c r="P53" i="105"/>
  <c r="Q53" i="105"/>
  <c r="L54" i="105"/>
  <c r="N54" i="105"/>
  <c r="P54" i="105"/>
  <c r="Q54" i="105"/>
  <c r="L55" i="105"/>
  <c r="N55" i="105"/>
  <c r="P55" i="105"/>
  <c r="Q55" i="105"/>
  <c r="L56" i="105"/>
  <c r="N56" i="105" s="1"/>
  <c r="P56" i="105"/>
  <c r="Q56" i="105"/>
  <c r="L57" i="105"/>
  <c r="N57" i="105"/>
  <c r="P57" i="105"/>
  <c r="Q57" i="105"/>
  <c r="L58" i="105"/>
  <c r="N58" i="105"/>
  <c r="P58" i="105"/>
  <c r="Q58" i="105"/>
  <c r="L59" i="105"/>
  <c r="N59" i="105"/>
  <c r="P59" i="105"/>
  <c r="Q59" i="105"/>
  <c r="L60" i="105"/>
  <c r="N60" i="105" s="1"/>
  <c r="P60" i="105"/>
  <c r="Q60" i="105"/>
  <c r="L61" i="105"/>
  <c r="N61" i="105"/>
  <c r="P61" i="105"/>
  <c r="Q61" i="105"/>
  <c r="B12" i="85"/>
  <c r="B13" i="85" s="1"/>
  <c r="B24" i="85" s="1"/>
  <c r="B29" i="85" s="1"/>
  <c r="C12" i="85"/>
  <c r="C13" i="85"/>
  <c r="C24" i="85" s="1"/>
  <c r="C15" i="85"/>
  <c r="B16" i="85" s="1"/>
  <c r="F5" i="86"/>
  <c r="G5" i="86"/>
  <c r="F6" i="86"/>
  <c r="G6" i="86"/>
  <c r="F7" i="86"/>
  <c r="G7" i="86"/>
  <c r="F8" i="86"/>
  <c r="G8" i="86"/>
  <c r="F9" i="86"/>
  <c r="G9" i="86"/>
  <c r="F10" i="86"/>
  <c r="G10" i="86"/>
  <c r="F11" i="86"/>
  <c r="G11" i="86"/>
  <c r="F12" i="86"/>
  <c r="G12" i="86"/>
  <c r="F13" i="86"/>
  <c r="G13" i="86"/>
  <c r="F14" i="86"/>
  <c r="G14" i="86"/>
  <c r="F15" i="86"/>
  <c r="G15" i="86"/>
  <c r="F16" i="86"/>
  <c r="G16" i="86"/>
  <c r="F17" i="86"/>
  <c r="G17" i="86"/>
  <c r="F18" i="86"/>
  <c r="G18" i="86"/>
  <c r="F19" i="86"/>
  <c r="G19" i="86"/>
  <c r="F20" i="86"/>
  <c r="G20" i="86"/>
  <c r="F21" i="86"/>
  <c r="G21" i="86"/>
  <c r="F22" i="86"/>
  <c r="G22" i="86"/>
  <c r="F23" i="86"/>
  <c r="G23" i="86"/>
  <c r="F24" i="86"/>
  <c r="G24" i="86"/>
  <c r="F25" i="86"/>
  <c r="G25" i="86"/>
  <c r="F26" i="86"/>
  <c r="G26" i="86"/>
  <c r="F27" i="86"/>
  <c r="G27" i="86"/>
  <c r="F28" i="86"/>
  <c r="G28" i="86"/>
  <c r="F29" i="86"/>
  <c r="G29" i="86"/>
  <c r="F30" i="86"/>
  <c r="G30" i="86"/>
  <c r="F31" i="86"/>
  <c r="G31" i="86"/>
  <c r="F32" i="86"/>
  <c r="G32" i="86"/>
  <c r="F33" i="86"/>
  <c r="G33" i="86"/>
  <c r="F34" i="86"/>
  <c r="G34" i="86"/>
  <c r="F35" i="86"/>
  <c r="G35" i="86"/>
  <c r="F36" i="86"/>
  <c r="G36" i="86"/>
  <c r="F37" i="86"/>
  <c r="G37" i="86"/>
  <c r="F38" i="86"/>
  <c r="G38" i="86"/>
  <c r="F39" i="86"/>
  <c r="G39" i="86"/>
  <c r="F40" i="86"/>
  <c r="G40" i="86"/>
  <c r="F41" i="86"/>
  <c r="G41" i="86"/>
  <c r="F42" i="86"/>
  <c r="G42" i="86"/>
  <c r="F43" i="86"/>
  <c r="G43" i="86"/>
  <c r="F44" i="86"/>
  <c r="G44" i="86"/>
  <c r="F45" i="86"/>
  <c r="G45" i="86"/>
  <c r="F46" i="86"/>
  <c r="G46" i="86"/>
  <c r="F47" i="86"/>
  <c r="G47" i="86"/>
  <c r="F48" i="86"/>
  <c r="G48" i="86"/>
  <c r="F49" i="86"/>
  <c r="G49" i="86"/>
  <c r="F50" i="86"/>
  <c r="G50" i="86"/>
  <c r="F51" i="86"/>
  <c r="G51" i="86"/>
  <c r="F52" i="86"/>
  <c r="G52" i="86"/>
  <c r="F53" i="86"/>
  <c r="G53" i="86"/>
  <c r="F54" i="86"/>
  <c r="G54" i="86"/>
  <c r="F55" i="86"/>
  <c r="G55" i="86"/>
  <c r="F56" i="86"/>
  <c r="G56" i="86"/>
  <c r="F57" i="86"/>
  <c r="G57" i="86"/>
  <c r="F58" i="86"/>
  <c r="G58" i="86"/>
  <c r="F59" i="86"/>
  <c r="G59" i="86"/>
  <c r="F60" i="86"/>
  <c r="G60" i="86"/>
  <c r="F61" i="86"/>
  <c r="G61" i="86"/>
  <c r="F62" i="86"/>
  <c r="G62" i="86"/>
  <c r="F63" i="86"/>
  <c r="G63" i="86"/>
  <c r="K3" i="65"/>
  <c r="C10" i="65"/>
  <c r="C11" i="65"/>
  <c r="C12" i="65"/>
  <c r="C32" i="65" s="1"/>
  <c r="C13" i="65"/>
  <c r="C14" i="65"/>
  <c r="C15" i="65"/>
  <c r="C16" i="65"/>
  <c r="C17" i="65"/>
  <c r="C18" i="65"/>
  <c r="C19" i="65"/>
  <c r="B20" i="65"/>
  <c r="C20" i="65"/>
  <c r="B21" i="65"/>
  <c r="C21" i="65"/>
  <c r="C31" i="65" s="1"/>
  <c r="B22" i="65"/>
  <c r="B23" i="65" s="1"/>
  <c r="B24" i="65" s="1"/>
  <c r="B25" i="65" s="1"/>
  <c r="B26" i="65" s="1"/>
  <c r="B27" i="65" s="1"/>
  <c r="B28" i="65" s="1"/>
  <c r="B29" i="65" s="1"/>
  <c r="C22" i="65"/>
  <c r="C23" i="65"/>
  <c r="C24" i="65"/>
  <c r="C25" i="65"/>
  <c r="C26" i="65"/>
  <c r="C27" i="65"/>
  <c r="C28" i="65"/>
  <c r="C29" i="65"/>
  <c r="C52" i="65"/>
  <c r="C53" i="65"/>
  <c r="K3" i="66"/>
  <c r="M3" i="66" s="1"/>
  <c r="M6" i="66"/>
  <c r="B20" i="66"/>
  <c r="B21" i="66"/>
  <c r="B22" i="66"/>
  <c r="B23" i="66" s="1"/>
  <c r="B24" i="66" s="1"/>
  <c r="B25" i="66" s="1"/>
  <c r="B26" i="66" s="1"/>
  <c r="B27" i="66" s="1"/>
  <c r="B28" i="66" s="1"/>
  <c r="B29" i="66" s="1"/>
  <c r="C31" i="66"/>
  <c r="C32" i="66"/>
  <c r="C52" i="66"/>
  <c r="C53" i="66"/>
  <c r="G5" i="80"/>
  <c r="H5" i="80"/>
  <c r="E6" i="80"/>
  <c r="E7" i="80"/>
  <c r="E8" i="80"/>
  <c r="E9" i="80"/>
  <c r="E10" i="80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37" i="80"/>
  <c r="E38" i="80"/>
  <c r="E39" i="80"/>
  <c r="E40" i="80"/>
  <c r="E41" i="80"/>
  <c r="E42" i="80"/>
  <c r="E43" i="80"/>
  <c r="E44" i="80"/>
  <c r="E45" i="80"/>
  <c r="E46" i="80"/>
  <c r="E47" i="80"/>
  <c r="E48" i="80"/>
  <c r="E49" i="80"/>
  <c r="E50" i="80"/>
  <c r="E51" i="80"/>
  <c r="E52" i="80"/>
  <c r="E53" i="80"/>
  <c r="E54" i="80"/>
  <c r="E55" i="80"/>
  <c r="E56" i="80"/>
  <c r="E57" i="80"/>
  <c r="E58" i="80"/>
  <c r="E59" i="80"/>
  <c r="E60" i="80"/>
  <c r="E61" i="80"/>
  <c r="E62" i="80"/>
  <c r="E63" i="80"/>
  <c r="E64" i="80"/>
  <c r="E65" i="80"/>
  <c r="H7" i="80"/>
  <c r="N5" i="80"/>
  <c r="D16" i="77"/>
  <c r="B23" i="77" s="1"/>
  <c r="J16" i="77"/>
  <c r="B19" i="77"/>
  <c r="D19" i="77"/>
  <c r="B24" i="77"/>
  <c r="J19" i="77"/>
  <c r="D20" i="77"/>
  <c r="J20" i="77" s="1"/>
  <c r="B21" i="77"/>
  <c r="D21" i="77"/>
  <c r="J21" i="77"/>
  <c r="F5" i="14"/>
  <c r="G46" i="14" s="1"/>
  <c r="G5" i="14"/>
  <c r="H5" i="14"/>
  <c r="I5" i="14"/>
  <c r="I43" i="14" s="1"/>
  <c r="F6" i="14"/>
  <c r="G6" i="14"/>
  <c r="H6" i="14"/>
  <c r="I6" i="14"/>
  <c r="F7" i="14"/>
  <c r="G7" i="14"/>
  <c r="H7" i="14"/>
  <c r="I7" i="14"/>
  <c r="I44" i="14" s="1"/>
  <c r="F8" i="14"/>
  <c r="G8" i="14"/>
  <c r="H8" i="14"/>
  <c r="I8" i="14"/>
  <c r="F9" i="14"/>
  <c r="G9" i="14"/>
  <c r="H9" i="14"/>
  <c r="I9" i="14"/>
  <c r="F10" i="14"/>
  <c r="G10" i="14"/>
  <c r="H10" i="14"/>
  <c r="I10" i="14"/>
  <c r="F11" i="14"/>
  <c r="G11" i="14"/>
  <c r="H11" i="14"/>
  <c r="I11" i="14"/>
  <c r="F12" i="14"/>
  <c r="G12" i="14"/>
  <c r="H12" i="14"/>
  <c r="I12" i="14"/>
  <c r="F13" i="14"/>
  <c r="G13" i="14"/>
  <c r="H13" i="14"/>
  <c r="I13" i="14"/>
  <c r="F14" i="14"/>
  <c r="G14" i="14"/>
  <c r="H14" i="14"/>
  <c r="I14" i="14"/>
  <c r="F15" i="14"/>
  <c r="G15" i="14"/>
  <c r="H15" i="14"/>
  <c r="I15" i="14"/>
  <c r="F16" i="14"/>
  <c r="G16" i="14"/>
  <c r="H16" i="14"/>
  <c r="I16" i="14"/>
  <c r="F17" i="14"/>
  <c r="G17" i="14"/>
  <c r="H17" i="14"/>
  <c r="I17" i="14"/>
  <c r="F18" i="14"/>
  <c r="G18" i="14"/>
  <c r="H18" i="14"/>
  <c r="I18" i="14"/>
  <c r="F19" i="14"/>
  <c r="G19" i="14"/>
  <c r="H19" i="14"/>
  <c r="I19" i="14"/>
  <c r="F20" i="14"/>
  <c r="G20" i="14"/>
  <c r="H20" i="14"/>
  <c r="I20" i="14"/>
  <c r="F21" i="14"/>
  <c r="G21" i="14"/>
  <c r="H21" i="14"/>
  <c r="I21" i="14"/>
  <c r="F22" i="14"/>
  <c r="G22" i="14"/>
  <c r="H22" i="14"/>
  <c r="I22" i="14"/>
  <c r="F23" i="14"/>
  <c r="G23" i="14"/>
  <c r="H23" i="14"/>
  <c r="I23" i="14"/>
  <c r="F24" i="14"/>
  <c r="G24" i="14"/>
  <c r="H24" i="14"/>
  <c r="I24" i="14"/>
  <c r="F25" i="14"/>
  <c r="G25" i="14"/>
  <c r="H25" i="14"/>
  <c r="I25" i="14"/>
  <c r="F26" i="14"/>
  <c r="G26" i="14"/>
  <c r="H26" i="14"/>
  <c r="I26" i="14"/>
  <c r="F27" i="14"/>
  <c r="G27" i="14"/>
  <c r="H27" i="14"/>
  <c r="I27" i="14"/>
  <c r="F28" i="14"/>
  <c r="G28" i="14"/>
  <c r="H28" i="14"/>
  <c r="I28" i="14"/>
  <c r="F29" i="14"/>
  <c r="G29" i="14"/>
  <c r="H29" i="14"/>
  <c r="I29" i="14"/>
  <c r="F30" i="14"/>
  <c r="G30" i="14"/>
  <c r="H30" i="14"/>
  <c r="I30" i="14"/>
  <c r="F31" i="14"/>
  <c r="G31" i="14"/>
  <c r="H31" i="14"/>
  <c r="I31" i="14"/>
  <c r="F32" i="14"/>
  <c r="G32" i="14"/>
  <c r="H32" i="14"/>
  <c r="I32" i="14"/>
  <c r="F33" i="14"/>
  <c r="G33" i="14"/>
  <c r="H33" i="14"/>
  <c r="I33" i="14"/>
  <c r="F34" i="14"/>
  <c r="G34" i="14"/>
  <c r="H34" i="14"/>
  <c r="I34" i="14"/>
  <c r="F35" i="14"/>
  <c r="G35" i="14"/>
  <c r="H35" i="14"/>
  <c r="I35" i="14"/>
  <c r="F36" i="14"/>
  <c r="G36" i="14"/>
  <c r="H36" i="14"/>
  <c r="I36" i="14"/>
  <c r="F37" i="14"/>
  <c r="G37" i="14"/>
  <c r="H37" i="14"/>
  <c r="I37" i="14"/>
  <c r="F38" i="14"/>
  <c r="G38" i="14"/>
  <c r="H38" i="14"/>
  <c r="I38" i="14"/>
  <c r="F39" i="14"/>
  <c r="G39" i="14"/>
  <c r="H39" i="14"/>
  <c r="I39" i="14"/>
  <c r="F40" i="14"/>
  <c r="G40" i="14"/>
  <c r="H40" i="14"/>
  <c r="I40" i="14"/>
  <c r="B43" i="14"/>
  <c r="C43" i="14"/>
  <c r="C45" i="14" s="1"/>
  <c r="D43" i="14"/>
  <c r="D45" i="14" s="1"/>
  <c r="B44" i="14"/>
  <c r="C44" i="14"/>
  <c r="D44" i="14"/>
  <c r="B45" i="14"/>
  <c r="G47" i="14"/>
  <c r="B14" i="93"/>
  <c r="B15" i="93"/>
  <c r="B16" i="93"/>
  <c r="B17" i="93"/>
  <c r="B20" i="93"/>
  <c r="C20" i="93" s="1"/>
  <c r="C25" i="93" s="1"/>
  <c r="B21" i="93"/>
  <c r="C21" i="93"/>
  <c r="B22" i="93"/>
  <c r="C22" i="93"/>
  <c r="B23" i="93"/>
  <c r="C23" i="93" s="1"/>
  <c r="D13" i="17"/>
  <c r="E13" i="17"/>
  <c r="F13" i="17"/>
  <c r="D14" i="17"/>
  <c r="E14" i="17" s="1"/>
  <c r="F14" i="17"/>
  <c r="D15" i="17"/>
  <c r="E15" i="17" s="1"/>
  <c r="D16" i="17"/>
  <c r="E16" i="17"/>
  <c r="F16" i="17"/>
  <c r="D17" i="17"/>
  <c r="E17" i="17" s="1"/>
  <c r="D18" i="17"/>
  <c r="E18" i="17"/>
  <c r="F18" i="17"/>
  <c r="D19" i="17"/>
  <c r="D20" i="17"/>
  <c r="F20" i="17" s="1"/>
  <c r="E20" i="17"/>
  <c r="D21" i="17"/>
  <c r="E21" i="17"/>
  <c r="F21" i="17"/>
  <c r="D22" i="17"/>
  <c r="F22" i="17" s="1"/>
  <c r="E22" i="17"/>
  <c r="D27" i="17"/>
  <c r="E27" i="17"/>
  <c r="F27" i="17"/>
  <c r="D28" i="17"/>
  <c r="F28" i="17" s="1"/>
  <c r="G28" i="17"/>
  <c r="D29" i="17"/>
  <c r="F29" i="17" s="1"/>
  <c r="E29" i="17"/>
  <c r="G29" i="17"/>
  <c r="D30" i="17"/>
  <c r="E30" i="17"/>
  <c r="F30" i="17"/>
  <c r="G30" i="17"/>
  <c r="G31" i="17" s="1"/>
  <c r="G32" i="17" s="1"/>
  <c r="G33" i="17" s="1"/>
  <c r="G34" i="17" s="1"/>
  <c r="G35" i="17" s="1"/>
  <c r="G36" i="17" s="1"/>
  <c r="D31" i="17"/>
  <c r="E31" i="17" s="1"/>
  <c r="D32" i="17"/>
  <c r="F32" i="17" s="1"/>
  <c r="D33" i="17"/>
  <c r="F33" i="17" s="1"/>
  <c r="E33" i="17"/>
  <c r="D34" i="17"/>
  <c r="E34" i="17"/>
  <c r="F34" i="17"/>
  <c r="D35" i="17"/>
  <c r="E35" i="17" s="1"/>
  <c r="D36" i="17"/>
  <c r="F36" i="17" s="1"/>
  <c r="D42" i="17"/>
  <c r="E42" i="17" s="1"/>
  <c r="E45" i="17"/>
  <c r="F45" i="17"/>
  <c r="F2" i="76"/>
  <c r="H9" i="76" s="1"/>
  <c r="H5" i="76"/>
  <c r="H6" i="76"/>
  <c r="H7" i="76"/>
  <c r="H8" i="76"/>
  <c r="H11" i="76"/>
  <c r="H12" i="76"/>
  <c r="H13" i="76"/>
  <c r="H16" i="76"/>
  <c r="H17" i="76"/>
  <c r="H18" i="76"/>
  <c r="H19" i="76"/>
  <c r="H21" i="76"/>
  <c r="H22" i="76"/>
  <c r="H23" i="76"/>
  <c r="H24" i="76"/>
  <c r="H27" i="76"/>
  <c r="H28" i="76"/>
  <c r="H29" i="76"/>
  <c r="H32" i="76"/>
  <c r="H33" i="76"/>
  <c r="H34" i="76"/>
  <c r="H35" i="76"/>
  <c r="H37" i="76"/>
  <c r="H38" i="76"/>
  <c r="H39" i="76"/>
  <c r="H40" i="76"/>
  <c r="H43" i="76"/>
  <c r="H44" i="76"/>
  <c r="H45" i="76"/>
  <c r="H47" i="76"/>
  <c r="H48" i="76"/>
  <c r="H49" i="76"/>
  <c r="H50" i="76"/>
  <c r="H51" i="76"/>
  <c r="H53" i="76"/>
  <c r="H54" i="76"/>
  <c r="H55" i="76"/>
  <c r="H56" i="76"/>
  <c r="H59" i="76"/>
  <c r="H60" i="76"/>
  <c r="H61" i="76"/>
  <c r="H63" i="76"/>
  <c r="J7" i="76"/>
  <c r="K7" i="76"/>
  <c r="L7" i="76"/>
  <c r="J9" i="76" s="1"/>
  <c r="M7" i="76"/>
  <c r="K8" i="76"/>
  <c r="L8" i="76"/>
  <c r="K9" i="76" s="1"/>
  <c r="M8" i="76"/>
  <c r="K10" i="76" s="1"/>
  <c r="L9" i="76"/>
  <c r="M9" i="76"/>
  <c r="L10" i="76" s="1"/>
  <c r="J10" i="76"/>
  <c r="M10" i="76"/>
  <c r="I3" i="11"/>
  <c r="G3" i="11" s="1"/>
  <c r="J3" i="11"/>
  <c r="K3" i="11"/>
  <c r="I4" i="11"/>
  <c r="J4" i="11"/>
  <c r="K4" i="11"/>
  <c r="I5" i="11"/>
  <c r="J5" i="11"/>
  <c r="G5" i="11" s="1"/>
  <c r="K5" i="11"/>
  <c r="I6" i="11"/>
  <c r="J6" i="11"/>
  <c r="K6" i="11"/>
  <c r="G6" i="11" s="1"/>
  <c r="I7" i="11"/>
  <c r="G7" i="11" s="1"/>
  <c r="J7" i="11"/>
  <c r="K7" i="11"/>
  <c r="I8" i="11"/>
  <c r="G8" i="11" s="1"/>
  <c r="J8" i="11"/>
  <c r="K8" i="11"/>
  <c r="I9" i="11"/>
  <c r="J9" i="11"/>
  <c r="G9" i="11" s="1"/>
  <c r="K9" i="11"/>
  <c r="I10" i="11"/>
  <c r="J10" i="11"/>
  <c r="K10" i="11"/>
  <c r="G10" i="11" s="1"/>
  <c r="I11" i="11"/>
  <c r="G11" i="11" s="1"/>
  <c r="J11" i="11"/>
  <c r="K11" i="11"/>
  <c r="I12" i="11"/>
  <c r="J12" i="11"/>
  <c r="K12" i="11"/>
  <c r="I13" i="11"/>
  <c r="J13" i="11"/>
  <c r="G13" i="11" s="1"/>
  <c r="K13" i="11"/>
  <c r="I14" i="11"/>
  <c r="J14" i="11"/>
  <c r="K14" i="11"/>
  <c r="G14" i="11" s="1"/>
  <c r="I15" i="11"/>
  <c r="G15" i="11" s="1"/>
  <c r="J15" i="11"/>
  <c r="K15" i="11"/>
  <c r="I16" i="11"/>
  <c r="J16" i="11"/>
  <c r="K16" i="11"/>
  <c r="I17" i="11"/>
  <c r="J17" i="11"/>
  <c r="G17" i="11" s="1"/>
  <c r="K17" i="11"/>
  <c r="I18" i="11"/>
  <c r="J18" i="11"/>
  <c r="K18" i="11"/>
  <c r="G18" i="11" s="1"/>
  <c r="I19" i="11"/>
  <c r="G19" i="11" s="1"/>
  <c r="J19" i="11"/>
  <c r="K19" i="11"/>
  <c r="I20" i="11"/>
  <c r="J20" i="11"/>
  <c r="K20" i="11"/>
  <c r="I21" i="11"/>
  <c r="J21" i="11"/>
  <c r="G21" i="11" s="1"/>
  <c r="K21" i="11"/>
  <c r="I22" i="11"/>
  <c r="J22" i="11"/>
  <c r="K22" i="11"/>
  <c r="G22" i="11" s="1"/>
  <c r="I23" i="11"/>
  <c r="G23" i="11" s="1"/>
  <c r="J23" i="11"/>
  <c r="K23" i="11"/>
  <c r="I24" i="11"/>
  <c r="G24" i="11" s="1"/>
  <c r="J24" i="11"/>
  <c r="K24" i="11"/>
  <c r="I25" i="11"/>
  <c r="J25" i="11"/>
  <c r="K25" i="11"/>
  <c r="G25" i="11" s="1"/>
  <c r="I26" i="11"/>
  <c r="J26" i="11"/>
  <c r="K26" i="11"/>
  <c r="G26" i="11" s="1"/>
  <c r="I27" i="11"/>
  <c r="G27" i="11" s="1"/>
  <c r="J27" i="11"/>
  <c r="K27" i="11"/>
  <c r="I28" i="11"/>
  <c r="J28" i="11"/>
  <c r="K28" i="11"/>
  <c r="I29" i="11"/>
  <c r="J29" i="11"/>
  <c r="K29" i="11"/>
  <c r="G29" i="11" s="1"/>
  <c r="I30" i="11"/>
  <c r="J30" i="11"/>
  <c r="K30" i="11"/>
  <c r="G30" i="11" s="1"/>
  <c r="I31" i="11"/>
  <c r="G31" i="11" s="1"/>
  <c r="J31" i="11"/>
  <c r="K31" i="11"/>
  <c r="I32" i="11"/>
  <c r="J32" i="11"/>
  <c r="K32" i="11"/>
  <c r="I33" i="11"/>
  <c r="J33" i="11"/>
  <c r="K33" i="11"/>
  <c r="G33" i="11" s="1"/>
  <c r="I34" i="11"/>
  <c r="J34" i="11"/>
  <c r="K34" i="11"/>
  <c r="G34" i="11" s="1"/>
  <c r="I35" i="11"/>
  <c r="G35" i="11" s="1"/>
  <c r="J35" i="11"/>
  <c r="K35" i="11"/>
  <c r="I36" i="11"/>
  <c r="J36" i="11"/>
  <c r="K36" i="11"/>
  <c r="I37" i="11"/>
  <c r="J37" i="11"/>
  <c r="K37" i="11"/>
  <c r="G37" i="11" s="1"/>
  <c r="I38" i="11"/>
  <c r="J38" i="11"/>
  <c r="K38" i="11"/>
  <c r="G38" i="11" s="1"/>
  <c r="I39" i="11"/>
  <c r="G39" i="11" s="1"/>
  <c r="J39" i="11"/>
  <c r="K39" i="11"/>
  <c r="I40" i="11"/>
  <c r="G40" i="11" s="1"/>
  <c r="J40" i="11"/>
  <c r="K40" i="11"/>
  <c r="I41" i="11"/>
  <c r="J41" i="11"/>
  <c r="K41" i="11"/>
  <c r="G41" i="11" s="1"/>
  <c r="I42" i="11"/>
  <c r="J42" i="11"/>
  <c r="K42" i="11"/>
  <c r="G42" i="11" s="1"/>
  <c r="I43" i="11"/>
  <c r="G43" i="11" s="1"/>
  <c r="J43" i="11"/>
  <c r="K43" i="11"/>
  <c r="I44" i="11"/>
  <c r="J44" i="11"/>
  <c r="K44" i="11"/>
  <c r="I45" i="11"/>
  <c r="J45" i="11"/>
  <c r="K45" i="11"/>
  <c r="G45" i="11" s="1"/>
  <c r="I46" i="11"/>
  <c r="J46" i="11"/>
  <c r="K46" i="11"/>
  <c r="G46" i="11" s="1"/>
  <c r="I47" i="11"/>
  <c r="G47" i="11" s="1"/>
  <c r="J47" i="11"/>
  <c r="K47" i="11"/>
  <c r="I48" i="11"/>
  <c r="J48" i="11"/>
  <c r="K48" i="11"/>
  <c r="I49" i="11"/>
  <c r="J49" i="11"/>
  <c r="K49" i="11"/>
  <c r="G49" i="11" s="1"/>
  <c r="I50" i="11"/>
  <c r="J50" i="11"/>
  <c r="K50" i="11"/>
  <c r="G50" i="11" s="1"/>
  <c r="I51" i="11"/>
  <c r="G51" i="11" s="1"/>
  <c r="J51" i="11"/>
  <c r="K51" i="11"/>
  <c r="I52" i="11"/>
  <c r="J52" i="11"/>
  <c r="K52" i="11"/>
  <c r="I53" i="11"/>
  <c r="J53" i="11"/>
  <c r="K53" i="11"/>
  <c r="G53" i="11" s="1"/>
  <c r="I54" i="11"/>
  <c r="J54" i="11"/>
  <c r="K54" i="11"/>
  <c r="G54" i="11" s="1"/>
  <c r="I55" i="11"/>
  <c r="G55" i="11" s="1"/>
  <c r="J55" i="11"/>
  <c r="K55" i="11"/>
  <c r="I56" i="11"/>
  <c r="G56" i="11" s="1"/>
  <c r="J56" i="11"/>
  <c r="K56" i="11"/>
  <c r="I57" i="11"/>
  <c r="J57" i="11"/>
  <c r="K57" i="11"/>
  <c r="G57" i="11" s="1"/>
  <c r="I58" i="11"/>
  <c r="J58" i="11"/>
  <c r="K58" i="11"/>
  <c r="G58" i="11" s="1"/>
  <c r="I59" i="11"/>
  <c r="G59" i="11" s="1"/>
  <c r="J59" i="11"/>
  <c r="K59" i="11"/>
  <c r="I60" i="11"/>
  <c r="J60" i="11"/>
  <c r="K60" i="11"/>
  <c r="I61" i="11"/>
  <c r="J61" i="11"/>
  <c r="K61" i="11"/>
  <c r="G61" i="11" s="1"/>
  <c r="D5" i="70"/>
  <c r="G5" i="70" s="1"/>
  <c r="F5" i="70"/>
  <c r="D6" i="70"/>
  <c r="F6" i="70"/>
  <c r="G6" i="70"/>
  <c r="D7" i="70"/>
  <c r="G7" i="70" s="1"/>
  <c r="F7" i="70"/>
  <c r="D8" i="70"/>
  <c r="F8" i="70"/>
  <c r="D9" i="70"/>
  <c r="G9" i="70" s="1"/>
  <c r="D10" i="70"/>
  <c r="F10" i="70"/>
  <c r="D11" i="70"/>
  <c r="G11" i="70" s="1"/>
  <c r="D12" i="70"/>
  <c r="G12" i="70" s="1"/>
  <c r="D13" i="70"/>
  <c r="F13" i="70"/>
  <c r="D14" i="70"/>
  <c r="F14" i="70"/>
  <c r="D15" i="70"/>
  <c r="D16" i="70"/>
  <c r="F16" i="70"/>
  <c r="D17" i="70"/>
  <c r="F17" i="70" s="1"/>
  <c r="D18" i="70"/>
  <c r="G18" i="70" s="1"/>
  <c r="F18" i="70"/>
  <c r="D19" i="70"/>
  <c r="F19" i="70" s="1"/>
  <c r="D20" i="70"/>
  <c r="F20" i="70" s="1"/>
  <c r="D21" i="70"/>
  <c r="F21" i="70"/>
  <c r="D22" i="70"/>
  <c r="F22" i="70"/>
  <c r="D23" i="70"/>
  <c r="D24" i="70"/>
  <c r="F24" i="70"/>
  <c r="D25" i="70"/>
  <c r="G25" i="70" s="1"/>
  <c r="D26" i="70"/>
  <c r="F26" i="70"/>
  <c r="D27" i="70"/>
  <c r="G27" i="70" s="1"/>
  <c r="D28" i="70"/>
  <c r="G28" i="70" s="1"/>
  <c r="D29" i="70"/>
  <c r="F29" i="70"/>
  <c r="D30" i="70"/>
  <c r="F30" i="70"/>
  <c r="D31" i="70"/>
  <c r="D32" i="70"/>
  <c r="F32" i="70"/>
  <c r="D33" i="70"/>
  <c r="F33" i="70" s="1"/>
  <c r="D34" i="70"/>
  <c r="G34" i="70" s="1"/>
  <c r="F34" i="70"/>
  <c r="D35" i="70"/>
  <c r="F35" i="70" s="1"/>
  <c r="D36" i="70"/>
  <c r="F36" i="70" s="1"/>
  <c r="D37" i="70"/>
  <c r="F37" i="70"/>
  <c r="D38" i="70"/>
  <c r="F38" i="70"/>
  <c r="D39" i="70"/>
  <c r="D40" i="70"/>
  <c r="F40" i="70"/>
  <c r="D41" i="70"/>
  <c r="G41" i="70" s="1"/>
  <c r="D42" i="70"/>
  <c r="F42" i="70"/>
  <c r="D43" i="70"/>
  <c r="G43" i="70" s="1"/>
  <c r="D44" i="70"/>
  <c r="G44" i="70" s="1"/>
  <c r="D45" i="70"/>
  <c r="F45" i="70"/>
  <c r="D46" i="70"/>
  <c r="F46" i="70"/>
  <c r="D47" i="70"/>
  <c r="D48" i="70"/>
  <c r="F48" i="70"/>
  <c r="D49" i="70"/>
  <c r="F49" i="70" s="1"/>
  <c r="D50" i="70"/>
  <c r="G50" i="70" s="1"/>
  <c r="F50" i="70"/>
  <c r="D51" i="70"/>
  <c r="F51" i="70" s="1"/>
  <c r="D52" i="70"/>
  <c r="F52" i="70" s="1"/>
  <c r="D53" i="70"/>
  <c r="F53" i="70"/>
  <c r="D54" i="70"/>
  <c r="F54" i="70"/>
  <c r="D55" i="70"/>
  <c r="D56" i="70"/>
  <c r="F56" i="70"/>
  <c r="D57" i="70"/>
  <c r="G57" i="70" s="1"/>
  <c r="D58" i="70"/>
  <c r="F58" i="70"/>
  <c r="D59" i="70"/>
  <c r="G59" i="70" s="1"/>
  <c r="D60" i="70"/>
  <c r="G60" i="70" s="1"/>
  <c r="D61" i="70"/>
  <c r="F61" i="70"/>
  <c r="D62" i="70"/>
  <c r="F62" i="70"/>
  <c r="D63" i="70"/>
  <c r="G8" i="70"/>
  <c r="G10" i="70"/>
  <c r="G13" i="70"/>
  <c r="G14" i="70"/>
  <c r="G16" i="70"/>
  <c r="G21" i="70"/>
  <c r="G22" i="70"/>
  <c r="G24" i="70"/>
  <c r="G26" i="70"/>
  <c r="G29" i="70"/>
  <c r="G30" i="70"/>
  <c r="G32" i="70"/>
  <c r="G37" i="70"/>
  <c r="G38" i="70"/>
  <c r="G40" i="70"/>
  <c r="G42" i="70"/>
  <c r="G45" i="70"/>
  <c r="G46" i="70"/>
  <c r="G48" i="70"/>
  <c r="G53" i="70"/>
  <c r="G54" i="70"/>
  <c r="G56" i="70"/>
  <c r="G58" i="70"/>
  <c r="G61" i="70"/>
  <c r="G62" i="70"/>
  <c r="M5" i="70"/>
  <c r="M6" i="70"/>
  <c r="I2" i="8"/>
  <c r="I3" i="8"/>
  <c r="E17" i="8" s="1"/>
  <c r="E2" i="8"/>
  <c r="E18" i="8"/>
  <c r="E33" i="8"/>
  <c r="J11" i="8"/>
  <c r="F9" i="7"/>
  <c r="G14" i="7" s="1"/>
  <c r="D4" i="7"/>
  <c r="D5" i="7"/>
  <c r="F6" i="7"/>
  <c r="G6" i="7"/>
  <c r="D7" i="7"/>
  <c r="D8" i="7"/>
  <c r="D12" i="7"/>
  <c r="D13" i="7"/>
  <c r="D14" i="7"/>
  <c r="D16" i="7"/>
  <c r="D17" i="7"/>
  <c r="D20" i="7"/>
  <c r="D21" i="7"/>
  <c r="D22" i="7"/>
  <c r="D26" i="7"/>
  <c r="D27" i="7"/>
  <c r="D28" i="7"/>
  <c r="D32" i="7"/>
  <c r="D33" i="7"/>
  <c r="D36" i="7"/>
  <c r="D37" i="7"/>
  <c r="D38" i="7"/>
  <c r="D42" i="7"/>
  <c r="D43" i="7"/>
  <c r="D44" i="7"/>
  <c r="D48" i="7"/>
  <c r="D49" i="7"/>
  <c r="D52" i="7"/>
  <c r="D53" i="7"/>
  <c r="D54" i="7"/>
  <c r="D58" i="7"/>
  <c r="D59" i="7"/>
  <c r="D60" i="7"/>
  <c r="B65" i="7"/>
  <c r="C65" i="7"/>
  <c r="B11" i="5"/>
  <c r="B12" i="5" s="1"/>
  <c r="F7" i="5"/>
  <c r="F8" i="5"/>
  <c r="B22" i="5"/>
  <c r="B23" i="5"/>
  <c r="F8" i="4"/>
  <c r="E8" i="4" s="1"/>
  <c r="E11" i="4"/>
  <c r="F11" i="4"/>
  <c r="E20" i="4"/>
  <c r="F20" i="4"/>
  <c r="E3" i="83"/>
  <c r="E4" i="83"/>
  <c r="E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B64" i="83"/>
  <c r="C64" i="83"/>
  <c r="B65" i="83"/>
  <c r="C65" i="83"/>
  <c r="B17" i="2"/>
  <c r="E12" i="2" s="1"/>
  <c r="E4" i="2"/>
  <c r="C17" i="2"/>
  <c r="F8" i="2" s="1"/>
  <c r="E5" i="2"/>
  <c r="F5" i="2"/>
  <c r="H5" i="2" s="1"/>
  <c r="E6" i="2"/>
  <c r="E7" i="2"/>
  <c r="E8" i="2"/>
  <c r="H8" i="2" s="1"/>
  <c r="E9" i="2"/>
  <c r="F9" i="2"/>
  <c r="H9" i="2" s="1"/>
  <c r="E10" i="2"/>
  <c r="E11" i="2"/>
  <c r="E13" i="2"/>
  <c r="H13" i="2" s="1"/>
  <c r="F13" i="2"/>
  <c r="E14" i="2"/>
  <c r="E15" i="2"/>
  <c r="H19" i="2"/>
  <c r="H21" i="2" s="1"/>
  <c r="H23" i="2"/>
  <c r="H24" i="2"/>
  <c r="H22" i="2"/>
  <c r="J6" i="71"/>
  <c r="L6" i="71"/>
  <c r="G7" i="71"/>
  <c r="G17" i="71" s="1"/>
  <c r="H7" i="71"/>
  <c r="J7" i="71"/>
  <c r="L7" i="71"/>
  <c r="G8" i="71"/>
  <c r="H8" i="71"/>
  <c r="J8" i="71"/>
  <c r="L8" i="71"/>
  <c r="G9" i="71"/>
  <c r="H9" i="71"/>
  <c r="J9" i="71"/>
  <c r="L9" i="71"/>
  <c r="J10" i="71"/>
  <c r="L10" i="71"/>
  <c r="J11" i="71"/>
  <c r="L11" i="71"/>
  <c r="J12" i="71"/>
  <c r="L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G29" i="71"/>
  <c r="G30" i="71"/>
  <c r="G31" i="71"/>
  <c r="D9" i="111"/>
  <c r="E7" i="111" s="1"/>
  <c r="C12" i="58"/>
  <c r="C16" i="58" s="1"/>
  <c r="C13" i="58"/>
  <c r="C14" i="58"/>
  <c r="E36" i="58"/>
  <c r="F36" i="58" s="1"/>
  <c r="E37" i="58"/>
  <c r="E38" i="58"/>
  <c r="F6" i="110"/>
  <c r="G6" i="110"/>
  <c r="G7" i="110"/>
  <c r="H7" i="110"/>
  <c r="F7" i="110"/>
  <c r="I7" i="110"/>
  <c r="G8" i="110"/>
  <c r="H8" i="110" s="1"/>
  <c r="I8" i="110" s="1"/>
  <c r="F8" i="110"/>
  <c r="E6" i="111" l="1"/>
  <c r="F6" i="111" s="1"/>
  <c r="D10" i="111"/>
  <c r="F7" i="111"/>
  <c r="D11" i="111" s="1"/>
  <c r="D12" i="111" s="1"/>
  <c r="B19" i="85"/>
  <c r="F31" i="70"/>
  <c r="G31" i="70"/>
  <c r="G60" i="11"/>
  <c r="G12" i="11"/>
  <c r="I45" i="14"/>
  <c r="W3" i="106"/>
  <c r="G43" i="14"/>
  <c r="G45" i="14" s="1"/>
  <c r="G44" i="14"/>
  <c r="E19" i="17"/>
  <c r="F19" i="17"/>
  <c r="B17" i="85"/>
  <c r="B18" i="85" s="1"/>
  <c r="B20" i="85"/>
  <c r="B21" i="85" s="1"/>
  <c r="B22" i="85" s="1"/>
  <c r="C20" i="85"/>
  <c r="C21" i="85" s="1"/>
  <c r="C22" i="85" s="1"/>
  <c r="E6" i="8"/>
  <c r="E38" i="8"/>
  <c r="E10" i="8"/>
  <c r="E58" i="8"/>
  <c r="E22" i="8"/>
  <c r="E54" i="8"/>
  <c r="E26" i="8"/>
  <c r="E7" i="8"/>
  <c r="E23" i="8"/>
  <c r="E39" i="8"/>
  <c r="E55" i="8"/>
  <c r="E42" i="8"/>
  <c r="E11" i="8"/>
  <c r="E27" i="8"/>
  <c r="E43" i="8"/>
  <c r="E59" i="8"/>
  <c r="E12" i="8"/>
  <c r="E28" i="8"/>
  <c r="E44" i="8"/>
  <c r="E60" i="8"/>
  <c r="E16" i="8"/>
  <c r="E32" i="8"/>
  <c r="E48" i="8"/>
  <c r="J9" i="8"/>
  <c r="G48" i="11"/>
  <c r="G25" i="71"/>
  <c r="G26" i="71"/>
  <c r="B16" i="5"/>
  <c r="B15" i="5"/>
  <c r="B17" i="5"/>
  <c r="F4" i="5"/>
  <c r="F5" i="5"/>
  <c r="F6" i="5"/>
  <c r="E36" i="17"/>
  <c r="G32" i="11"/>
  <c r="G13" i="71"/>
  <c r="H21" i="77"/>
  <c r="H19" i="77"/>
  <c r="H23" i="77"/>
  <c r="H24" i="77"/>
  <c r="I46" i="14"/>
  <c r="C29" i="85"/>
  <c r="C30" i="85" s="1"/>
  <c r="B25" i="85"/>
  <c r="B28" i="85" s="1"/>
  <c r="B26" i="85"/>
  <c r="B27" i="85" s="1"/>
  <c r="L13" i="103"/>
  <c r="N3" i="103"/>
  <c r="P3" i="103" s="1"/>
  <c r="N15" i="103"/>
  <c r="P15" i="103" s="1"/>
  <c r="N25" i="103"/>
  <c r="P25" i="103" s="1"/>
  <c r="N35" i="103"/>
  <c r="P35" i="103" s="1"/>
  <c r="N45" i="103"/>
  <c r="P45" i="103" s="1"/>
  <c r="N37" i="103"/>
  <c r="P37" i="103" s="1"/>
  <c r="N6" i="103"/>
  <c r="P6" i="103" s="1"/>
  <c r="N26" i="103"/>
  <c r="P26" i="103" s="1"/>
  <c r="N55" i="103"/>
  <c r="P55" i="103" s="1"/>
  <c r="N17" i="103"/>
  <c r="P17" i="103" s="1"/>
  <c r="N56" i="103"/>
  <c r="P56" i="103" s="1"/>
  <c r="N16" i="103"/>
  <c r="P16" i="103" s="1"/>
  <c r="N36" i="103"/>
  <c r="P36" i="103" s="1"/>
  <c r="N46" i="103"/>
  <c r="P46" i="103" s="1"/>
  <c r="N7" i="103"/>
  <c r="P7" i="103" s="1"/>
  <c r="N27" i="103"/>
  <c r="P27" i="103" s="1"/>
  <c r="N18" i="103"/>
  <c r="P18" i="103" s="1"/>
  <c r="N47" i="103"/>
  <c r="P47" i="103" s="1"/>
  <c r="N57" i="103"/>
  <c r="P57" i="103" s="1"/>
  <c r="N4" i="103"/>
  <c r="P4" i="103" s="1"/>
  <c r="N8" i="103"/>
  <c r="P8" i="103" s="1"/>
  <c r="N28" i="103"/>
  <c r="P28" i="103" s="1"/>
  <c r="N38" i="103"/>
  <c r="P38" i="103" s="1"/>
  <c r="N58" i="103"/>
  <c r="P58" i="103" s="1"/>
  <c r="J13" i="103"/>
  <c r="K13" i="103" s="1"/>
  <c r="N10" i="103"/>
  <c r="P10" i="103" s="1"/>
  <c r="N39" i="103"/>
  <c r="P39" i="103" s="1"/>
  <c r="N49" i="103"/>
  <c r="P49" i="103" s="1"/>
  <c r="N59" i="103"/>
  <c r="P59" i="103" s="1"/>
  <c r="N9" i="103"/>
  <c r="P9" i="103" s="1"/>
  <c r="N19" i="103"/>
  <c r="P19" i="103" s="1"/>
  <c r="N29" i="103"/>
  <c r="P29" i="103" s="1"/>
  <c r="N48" i="103"/>
  <c r="P48" i="103" s="1"/>
  <c r="N5" i="103"/>
  <c r="P5" i="103" s="1"/>
  <c r="N20" i="103"/>
  <c r="P20" i="103" s="1"/>
  <c r="N30" i="103"/>
  <c r="P30" i="103" s="1"/>
  <c r="N50" i="103"/>
  <c r="P50" i="103" s="1"/>
  <c r="N11" i="103"/>
  <c r="P11" i="103" s="1"/>
  <c r="N21" i="103"/>
  <c r="P21" i="103" s="1"/>
  <c r="N40" i="103"/>
  <c r="P40" i="103" s="1"/>
  <c r="N60" i="103"/>
  <c r="P60" i="103" s="1"/>
  <c r="N31" i="103"/>
  <c r="P31" i="103" s="1"/>
  <c r="N41" i="103"/>
  <c r="P41" i="103" s="1"/>
  <c r="N51" i="103"/>
  <c r="P51" i="103" s="1"/>
  <c r="N61" i="103"/>
  <c r="P61" i="103" s="1"/>
  <c r="N34" i="103"/>
  <c r="P34" i="103" s="1"/>
  <c r="N12" i="103"/>
  <c r="P12" i="103" s="1"/>
  <c r="N22" i="103"/>
  <c r="P22" i="103" s="1"/>
  <c r="N42" i="103"/>
  <c r="P42" i="103" s="1"/>
  <c r="N13" i="103"/>
  <c r="P13" i="103" s="1"/>
  <c r="N32" i="103"/>
  <c r="P32" i="103" s="1"/>
  <c r="N52" i="103"/>
  <c r="P52" i="103" s="1"/>
  <c r="N23" i="103"/>
  <c r="P23" i="103" s="1"/>
  <c r="N33" i="103"/>
  <c r="P33" i="103" s="1"/>
  <c r="N43" i="103"/>
  <c r="P43" i="103" s="1"/>
  <c r="N53" i="103"/>
  <c r="P53" i="103" s="1"/>
  <c r="N14" i="103"/>
  <c r="P14" i="103" s="1"/>
  <c r="F15" i="4"/>
  <c r="F16" i="4"/>
  <c r="F63" i="70"/>
  <c r="G63" i="70"/>
  <c r="E3" i="8"/>
  <c r="J8" i="8" s="1"/>
  <c r="C21" i="77"/>
  <c r="E21" i="77" s="1"/>
  <c r="I11" i="110"/>
  <c r="G24" i="71"/>
  <c r="F47" i="70"/>
  <c r="G47" i="70"/>
  <c r="F15" i="70"/>
  <c r="G15" i="70"/>
  <c r="G52" i="11"/>
  <c r="G36" i="11"/>
  <c r="G20" i="11"/>
  <c r="G4" i="11"/>
  <c r="E28" i="17"/>
  <c r="H20" i="77"/>
  <c r="I20" i="77" s="1"/>
  <c r="K20" i="77" s="1"/>
  <c r="N24" i="103"/>
  <c r="P24" i="103" s="1"/>
  <c r="G16" i="11"/>
  <c r="N24" i="11" s="1"/>
  <c r="F38" i="17"/>
  <c r="F38" i="58"/>
  <c r="G14" i="71"/>
  <c r="F37" i="58"/>
  <c r="H12" i="2"/>
  <c r="E65" i="83"/>
  <c r="E64" i="83"/>
  <c r="G44" i="11"/>
  <c r="F39" i="70"/>
  <c r="G39" i="70"/>
  <c r="E50" i="8"/>
  <c r="F55" i="70"/>
  <c r="G55" i="70"/>
  <c r="F23" i="70"/>
  <c r="G23" i="70"/>
  <c r="I47" i="14"/>
  <c r="B25" i="77"/>
  <c r="I5" i="80"/>
  <c r="K5" i="80" s="1"/>
  <c r="L5" i="80" s="1"/>
  <c r="F40" i="58"/>
  <c r="D14" i="58"/>
  <c r="C24" i="58" s="1"/>
  <c r="E49" i="8"/>
  <c r="E32" i="17"/>
  <c r="E19" i="77"/>
  <c r="H11" i="2"/>
  <c r="G28" i="11"/>
  <c r="N22" i="11" s="1"/>
  <c r="D13" i="58"/>
  <c r="C23" i="58" s="1"/>
  <c r="E34" i="8"/>
  <c r="C19" i="77"/>
  <c r="G52" i="70"/>
  <c r="G36" i="70"/>
  <c r="G20" i="70"/>
  <c r="T9" i="88"/>
  <c r="F7" i="2"/>
  <c r="H7" i="2" s="1"/>
  <c r="F12" i="2"/>
  <c r="J8" i="76"/>
  <c r="J13" i="76" s="1"/>
  <c r="F35" i="17"/>
  <c r="F31" i="17"/>
  <c r="D57" i="7"/>
  <c r="D41" i="7"/>
  <c r="D25" i="7"/>
  <c r="D11" i="7"/>
  <c r="D65" i="7" s="1"/>
  <c r="E47" i="8"/>
  <c r="E31" i="8"/>
  <c r="E15" i="8"/>
  <c r="G51" i="70"/>
  <c r="G35" i="70"/>
  <c r="G19" i="70"/>
  <c r="D56" i="7"/>
  <c r="D40" i="7"/>
  <c r="D24" i="7"/>
  <c r="D10" i="7"/>
  <c r="E46" i="8"/>
  <c r="E30" i="8"/>
  <c r="E14" i="8"/>
  <c r="H52" i="76"/>
  <c r="H36" i="76"/>
  <c r="H20" i="76"/>
  <c r="H4" i="76"/>
  <c r="F17" i="17"/>
  <c r="B20" i="77"/>
  <c r="C20" i="77" s="1"/>
  <c r="E20" i="77" s="1"/>
  <c r="L4" i="105"/>
  <c r="N4" i="105" s="1"/>
  <c r="T8" i="105" s="1"/>
  <c r="L7" i="105"/>
  <c r="N7" i="105" s="1"/>
  <c r="L12" i="105"/>
  <c r="N12" i="105" s="1"/>
  <c r="L20" i="105"/>
  <c r="N20" i="105" s="1"/>
  <c r="L29" i="105"/>
  <c r="N29" i="105" s="1"/>
  <c r="L33" i="105"/>
  <c r="N33" i="105" s="1"/>
  <c r="L37" i="105"/>
  <c r="N37" i="105" s="1"/>
  <c r="L16" i="105"/>
  <c r="N16" i="105" s="1"/>
  <c r="L24" i="105"/>
  <c r="N24" i="105" s="1"/>
  <c r="L27" i="105"/>
  <c r="N27" i="105" s="1"/>
  <c r="L31" i="105"/>
  <c r="N31" i="105" s="1"/>
  <c r="L35" i="105"/>
  <c r="N35" i="105" s="1"/>
  <c r="H6" i="110"/>
  <c r="I6" i="110" s="1"/>
  <c r="G15" i="71"/>
  <c r="F6" i="2"/>
  <c r="H6" i="2" s="1"/>
  <c r="D55" i="7"/>
  <c r="D39" i="7"/>
  <c r="D23" i="7"/>
  <c r="D9" i="7"/>
  <c r="E61" i="8"/>
  <c r="E45" i="8"/>
  <c r="E29" i="8"/>
  <c r="E13" i="8"/>
  <c r="G49" i="70"/>
  <c r="G33" i="70"/>
  <c r="G17" i="70"/>
  <c r="F60" i="70"/>
  <c r="F44" i="70"/>
  <c r="F28" i="70"/>
  <c r="F12" i="70"/>
  <c r="F11" i="2"/>
  <c r="M8" i="66"/>
  <c r="F59" i="70"/>
  <c r="F43" i="70"/>
  <c r="F27" i="70"/>
  <c r="F11" i="70"/>
  <c r="J6" i="70" s="1"/>
  <c r="M7" i="66"/>
  <c r="I13" i="108"/>
  <c r="G17" i="108"/>
  <c r="F10" i="2"/>
  <c r="H10" i="2" s="1"/>
  <c r="D51" i="7"/>
  <c r="D35" i="7"/>
  <c r="E57" i="8"/>
  <c r="E41" i="8"/>
  <c r="E25" i="8"/>
  <c r="E9" i="8"/>
  <c r="H31" i="76"/>
  <c r="H15" i="76"/>
  <c r="M5" i="66"/>
  <c r="D19" i="7"/>
  <c r="F15" i="2"/>
  <c r="H15" i="2" s="1"/>
  <c r="D50" i="7"/>
  <c r="D34" i="7"/>
  <c r="D18" i="7"/>
  <c r="D6" i="7"/>
  <c r="F21" i="7" s="1"/>
  <c r="E56" i="8"/>
  <c r="E40" i="8"/>
  <c r="E24" i="8"/>
  <c r="E8" i="8"/>
  <c r="H62" i="76"/>
  <c r="H46" i="76"/>
  <c r="H30" i="76"/>
  <c r="H14" i="76"/>
  <c r="F42" i="17"/>
  <c r="G42" i="17" s="1"/>
  <c r="F46" i="17" s="1"/>
  <c r="F15" i="17"/>
  <c r="M4" i="66"/>
  <c r="K4" i="66" s="1"/>
  <c r="K5" i="66" s="1"/>
  <c r="F4" i="2"/>
  <c r="H4" i="2" s="1"/>
  <c r="F57" i="70"/>
  <c r="F41" i="70"/>
  <c r="F25" i="70"/>
  <c r="F9" i="70"/>
  <c r="J5" i="70" s="1"/>
  <c r="L49" i="105"/>
  <c r="N49" i="105" s="1"/>
  <c r="L45" i="105"/>
  <c r="N45" i="105" s="1"/>
  <c r="L41" i="105"/>
  <c r="N41" i="105" s="1"/>
  <c r="L25" i="105"/>
  <c r="N25" i="105" s="1"/>
  <c r="K15" i="106"/>
  <c r="E53" i="8"/>
  <c r="E37" i="8"/>
  <c r="E21" i="8"/>
  <c r="E5" i="8"/>
  <c r="F14" i="2"/>
  <c r="H14" i="2" s="1"/>
  <c r="D63" i="7"/>
  <c r="D47" i="7"/>
  <c r="D31" i="7"/>
  <c r="G15" i="7"/>
  <c r="D12" i="58"/>
  <c r="C22" i="58" s="1"/>
  <c r="D62" i="7"/>
  <c r="D46" i="7"/>
  <c r="D30" i="7"/>
  <c r="D15" i="7"/>
  <c r="E52" i="8"/>
  <c r="E36" i="8"/>
  <c r="E20" i="8"/>
  <c r="E4" i="8"/>
  <c r="H6" i="8" s="1"/>
  <c r="H58" i="76"/>
  <c r="H42" i="76"/>
  <c r="H26" i="76"/>
  <c r="H10" i="76"/>
  <c r="D61" i="7"/>
  <c r="F24" i="7" s="1"/>
  <c r="D45" i="7"/>
  <c r="D29" i="7"/>
  <c r="E51" i="8"/>
  <c r="E35" i="8"/>
  <c r="E19" i="8"/>
  <c r="H57" i="76"/>
  <c r="H41" i="76"/>
  <c r="H25" i="76"/>
  <c r="L15" i="106"/>
  <c r="M15" i="106" s="1"/>
  <c r="N17" i="90"/>
  <c r="J19" i="89"/>
  <c r="K18" i="89"/>
  <c r="H18" i="116"/>
  <c r="I18" i="116" s="1"/>
  <c r="I21" i="116" s="1"/>
  <c r="B19" i="116"/>
  <c r="H19" i="116" s="1"/>
  <c r="I19" i="116" s="1"/>
  <c r="K70" i="27"/>
  <c r="Q9" i="27"/>
  <c r="Q10" i="27" s="1"/>
  <c r="Q11" i="27" s="1"/>
  <c r="F30" i="102"/>
  <c r="F33" i="102" s="1"/>
  <c r="F18" i="102"/>
  <c r="L70" i="27"/>
  <c r="B10" i="98"/>
  <c r="B13" i="98"/>
  <c r="N70" i="27"/>
  <c r="E29" i="117"/>
  <c r="C39" i="117" a="1"/>
  <c r="C39" i="117" s="1"/>
  <c r="C41" i="117" a="1"/>
  <c r="C41" i="117" s="1"/>
  <c r="J62" i="73"/>
  <c r="J34" i="73"/>
  <c r="I66" i="73"/>
  <c r="I37" i="73"/>
  <c r="H39" i="73"/>
  <c r="H13" i="73"/>
  <c r="E35" i="117"/>
  <c r="E28" i="117"/>
  <c r="I65" i="73"/>
  <c r="I35" i="73"/>
  <c r="H68" i="73"/>
  <c r="H38" i="73"/>
  <c r="H10" i="73"/>
  <c r="L8" i="82"/>
  <c r="M8" i="82" s="1"/>
  <c r="J60" i="73"/>
  <c r="J30" i="73"/>
  <c r="I62" i="73"/>
  <c r="I34" i="73"/>
  <c r="H65" i="73"/>
  <c r="X9" i="27"/>
  <c r="I59" i="73"/>
  <c r="R9" i="27"/>
  <c r="R10" i="27" s="1"/>
  <c r="R11" i="27" s="1"/>
  <c r="E27" i="117"/>
  <c r="B7" i="59"/>
  <c r="F7" i="59" s="1"/>
  <c r="C7" i="59"/>
  <c r="D7" i="59"/>
  <c r="A8" i="59"/>
  <c r="I12" i="73"/>
  <c r="I28" i="73"/>
  <c r="I44" i="73"/>
  <c r="I60" i="73"/>
  <c r="I13" i="73"/>
  <c r="I29" i="73"/>
  <c r="I45" i="73"/>
  <c r="I61" i="73"/>
  <c r="I15" i="73"/>
  <c r="I31" i="73"/>
  <c r="I47" i="73"/>
  <c r="I63" i="73"/>
  <c r="I64" i="73"/>
  <c r="I22" i="73"/>
  <c r="I38" i="73"/>
  <c r="I54" i="73"/>
  <c r="I23" i="73"/>
  <c r="I39" i="73"/>
  <c r="I55" i="73"/>
  <c r="G21" i="98"/>
  <c r="P4" i="98" s="1"/>
  <c r="I57" i="73"/>
  <c r="I27" i="73"/>
  <c r="H24" i="73"/>
  <c r="H40" i="73"/>
  <c r="H56" i="73"/>
  <c r="H25" i="73"/>
  <c r="H41" i="73"/>
  <c r="H57" i="73"/>
  <c r="H18" i="73"/>
  <c r="H34" i="73"/>
  <c r="H50" i="73"/>
  <c r="H66" i="73"/>
  <c r="O6" i="114"/>
  <c r="C40" i="117" a="1"/>
  <c r="C40" i="117" s="1"/>
  <c r="J53" i="73"/>
  <c r="I56" i="73"/>
  <c r="I26" i="73"/>
  <c r="H58" i="73"/>
  <c r="H30" i="73"/>
  <c r="K20" i="73"/>
  <c r="K36" i="73"/>
  <c r="K52" i="73"/>
  <c r="K68" i="73"/>
  <c r="K21" i="73"/>
  <c r="K37" i="73"/>
  <c r="K53" i="73"/>
  <c r="K23" i="73"/>
  <c r="K39" i="73"/>
  <c r="K55" i="73"/>
  <c r="K24" i="73"/>
  <c r="K40" i="73"/>
  <c r="K56" i="73"/>
  <c r="K12" i="73"/>
  <c r="K28" i="73"/>
  <c r="K44" i="73"/>
  <c r="K60" i="73"/>
  <c r="K14" i="73"/>
  <c r="Q9" i="73" s="1"/>
  <c r="Q10" i="73" s="1"/>
  <c r="Q11" i="73" s="1"/>
  <c r="K30" i="73"/>
  <c r="K46" i="73"/>
  <c r="K62" i="73"/>
  <c r="K15" i="73"/>
  <c r="K31" i="73"/>
  <c r="K47" i="73"/>
  <c r="K63" i="73"/>
  <c r="N6" i="114"/>
  <c r="F5" i="59"/>
  <c r="I53" i="73"/>
  <c r="I25" i="73"/>
  <c r="H55" i="73"/>
  <c r="H29" i="73"/>
  <c r="J16" i="73"/>
  <c r="J32" i="73"/>
  <c r="J48" i="73"/>
  <c r="J64" i="73"/>
  <c r="J17" i="73"/>
  <c r="J33" i="73"/>
  <c r="J49" i="73"/>
  <c r="J65" i="73"/>
  <c r="J19" i="73"/>
  <c r="J35" i="73"/>
  <c r="J51" i="73"/>
  <c r="J67" i="73"/>
  <c r="J20" i="73"/>
  <c r="J36" i="73"/>
  <c r="J52" i="73"/>
  <c r="J68" i="73"/>
  <c r="J24" i="73"/>
  <c r="J40" i="73"/>
  <c r="J56" i="73"/>
  <c r="J10" i="73"/>
  <c r="J26" i="73"/>
  <c r="J42" i="73"/>
  <c r="J58" i="73"/>
  <c r="J11" i="73"/>
  <c r="J27" i="73"/>
  <c r="J43" i="73"/>
  <c r="J59" i="73"/>
  <c r="F20" i="98"/>
  <c r="F21" i="98" s="1"/>
  <c r="O4" i="98" s="1"/>
  <c r="E32" i="117"/>
  <c r="I51" i="73"/>
  <c r="I24" i="73"/>
  <c r="H54" i="73"/>
  <c r="H26" i="73"/>
  <c r="I16" i="73"/>
  <c r="M70" i="27"/>
  <c r="L6" i="114"/>
  <c r="F4" i="59"/>
  <c r="I50" i="73"/>
  <c r="I21" i="73"/>
  <c r="H53" i="73"/>
  <c r="H23" i="73"/>
  <c r="H11" i="73"/>
  <c r="E19" i="98"/>
  <c r="E14" i="98"/>
  <c r="B19" i="126"/>
  <c r="C19" i="126"/>
  <c r="K42" i="73"/>
  <c r="K13" i="73"/>
  <c r="N14" i="73" s="1"/>
  <c r="J45" i="73"/>
  <c r="J15" i="73"/>
  <c r="I49" i="73"/>
  <c r="I19" i="73"/>
  <c r="H52" i="73"/>
  <c r="H22" i="73"/>
  <c r="M7" i="98"/>
  <c r="D15" i="99"/>
  <c r="D10" i="99"/>
  <c r="E4" i="99"/>
  <c r="I12" i="123"/>
  <c r="K67" i="73"/>
  <c r="K41" i="73"/>
  <c r="K11" i="73"/>
  <c r="J44" i="73"/>
  <c r="J14" i="73"/>
  <c r="I46" i="73"/>
  <c r="I18" i="73"/>
  <c r="H49" i="73"/>
  <c r="H21" i="73"/>
  <c r="X10" i="27"/>
  <c r="F22" i="126" a="1"/>
  <c r="F22" i="126" s="1"/>
  <c r="H15" i="124"/>
  <c r="I42" i="73"/>
  <c r="I14" i="73"/>
  <c r="T9" i="27"/>
  <c r="T10" i="27" s="1"/>
  <c r="T11" i="27" s="1"/>
  <c r="D7" i="101"/>
  <c r="D8" i="101"/>
  <c r="J7" i="101" s="1"/>
  <c r="D9" i="101"/>
  <c r="D10" i="101"/>
  <c r="J9" i="101" s="1"/>
  <c r="C19" i="98"/>
  <c r="C14" i="98"/>
  <c r="B41" i="117"/>
  <c r="D41" i="117"/>
  <c r="H14" i="98"/>
  <c r="H67" i="73"/>
  <c r="H51" i="73"/>
  <c r="H35" i="73"/>
  <c r="H19" i="73"/>
  <c r="H14" i="82"/>
  <c r="F14" i="98"/>
  <c r="C10" i="99"/>
  <c r="C15" i="99"/>
  <c r="C21" i="99" s="1"/>
  <c r="I25" i="97"/>
  <c r="B23" i="99"/>
  <c r="K4" i="99" s="1"/>
  <c r="K7" i="99" s="1"/>
  <c r="K12" i="99" s="1"/>
  <c r="K14" i="99" s="1"/>
  <c r="E16" i="102"/>
  <c r="D4" i="59"/>
  <c r="I68" i="73"/>
  <c r="I52" i="73"/>
  <c r="I36" i="73"/>
  <c r="I20" i="73"/>
  <c r="H64" i="73"/>
  <c r="H48" i="73"/>
  <c r="H32" i="73"/>
  <c r="H16" i="73"/>
  <c r="C4" i="59"/>
  <c r="B29" i="126"/>
  <c r="F11" i="123"/>
  <c r="H11" i="123" s="1"/>
  <c r="I15" i="124"/>
  <c r="J15" i="124" s="1"/>
  <c r="B28" i="126"/>
  <c r="I48" i="73"/>
  <c r="I32" i="73"/>
  <c r="H60" i="73"/>
  <c r="H44" i="73"/>
  <c r="H28" i="73"/>
  <c r="H12" i="73"/>
  <c r="H21" i="98"/>
  <c r="Q4" i="98" s="1"/>
  <c r="H59" i="73"/>
  <c r="H43" i="73"/>
  <c r="H27" i="73"/>
  <c r="I14" i="125"/>
  <c r="J14" i="125" s="1"/>
  <c r="XFD1048550" i="106"/>
  <c r="XFD1048551" i="106"/>
  <c r="XFD1048552" i="106"/>
  <c r="XFD1048553" i="106"/>
  <c r="XFD1048554" i="106"/>
  <c r="XFD1048555" i="106" a="1"/>
  <c r="XFD1048555" i="106" s="1"/>
  <c r="XFD1048556" i="106"/>
  <c r="XFD1048557" i="106"/>
  <c r="XFD1048558" i="106"/>
  <c r="XFD1048559" i="106"/>
  <c r="XFD1048560" i="106"/>
  <c r="XFD1048561" i="106"/>
  <c r="XFD1048562" i="106" a="1"/>
  <c r="XFD1048562" i="106" s="1"/>
  <c r="XFD1048563" i="106" a="1"/>
  <c r="XFD1048563" i="106" s="1"/>
  <c r="XFD1048564" i="106" a="1"/>
  <c r="XFD1048564" i="106" s="1"/>
  <c r="XFD1048565" i="106" a="1"/>
  <c r="XFD1048565" i="106" s="1"/>
  <c r="XFD1048566" i="106" a="1"/>
  <c r="XFD1048566" i="106" s="1"/>
  <c r="XFD1048567" i="106" a="1"/>
  <c r="XFD1048567" i="106" s="1"/>
  <c r="XFD1048568" i="106" a="1"/>
  <c r="XFD1048568" i="106" s="1"/>
  <c r="XFD1048569" i="106" a="1"/>
  <c r="XFD1048569" i="106" s="1"/>
  <c r="XFD1048570" i="106" a="1"/>
  <c r="XFD1048570" i="106" s="1"/>
  <c r="XFD1048571" i="106" a="1"/>
  <c r="XFD1048571" i="106" s="1"/>
  <c r="XFD1048572" i="106" a="1"/>
  <c r="XFD1048572" i="106" s="1"/>
  <c r="XFD1048573" i="106" a="1"/>
  <c r="XFD1048573" i="106" s="1"/>
  <c r="XFD1048574" i="106" a="1"/>
  <c r="XFD1048574" i="106" s="1"/>
  <c r="XFD1048575" i="106" a="1"/>
  <c r="XFD1048575" i="106" s="1"/>
  <c r="O7" i="98" l="1"/>
  <c r="J10" i="8"/>
  <c r="J13" i="8" s="1"/>
  <c r="H18" i="2"/>
  <c r="J6" i="101"/>
  <c r="C31" i="85"/>
  <c r="H4" i="5"/>
  <c r="H7" i="5"/>
  <c r="B30" i="126"/>
  <c r="H25" i="77"/>
  <c r="K7" i="101"/>
  <c r="L7" i="101"/>
  <c r="C22" i="99"/>
  <c r="C23" i="99"/>
  <c r="L4" i="99" s="1"/>
  <c r="P7" i="98"/>
  <c r="P16" i="98"/>
  <c r="J20" i="89"/>
  <c r="K19" i="89"/>
  <c r="I19" i="77"/>
  <c r="K19" i="77" s="1"/>
  <c r="I21" i="77"/>
  <c r="K21" i="77" s="1"/>
  <c r="N15" i="106"/>
  <c r="I19" i="106" s="1"/>
  <c r="J4" i="76"/>
  <c r="D23" i="58"/>
  <c r="C30" i="58"/>
  <c r="U8" i="105"/>
  <c r="F4" i="99"/>
  <c r="E15" i="99"/>
  <c r="E21" i="99" s="1"/>
  <c r="E11" i="99"/>
  <c r="E14" i="99" s="1"/>
  <c r="C14" i="99"/>
  <c r="M12" i="98"/>
  <c r="B14" i="98"/>
  <c r="B19" i="98"/>
  <c r="I26" i="97"/>
  <c r="I27" i="97"/>
  <c r="M7" i="97" s="1"/>
  <c r="M18" i="97" s="1"/>
  <c r="M36" i="97" s="1"/>
  <c r="N15" i="73"/>
  <c r="B8" i="59"/>
  <c r="F8" i="59" s="1"/>
  <c r="D8" i="59"/>
  <c r="A9" i="59"/>
  <c r="C8" i="59"/>
  <c r="U9" i="105"/>
  <c r="N23" i="11"/>
  <c r="V3" i="103"/>
  <c r="F18" i="7"/>
  <c r="I10" i="110"/>
  <c r="Q7" i="98"/>
  <c r="Q16" i="98"/>
  <c r="C20" i="98"/>
  <c r="C21" i="98"/>
  <c r="L4" i="98" s="1"/>
  <c r="E39" i="117" a="1"/>
  <c r="E39" i="117" s="1"/>
  <c r="E40" i="117" a="1"/>
  <c r="E40" i="117" s="1"/>
  <c r="B44" i="117" s="1"/>
  <c r="B45" i="117" s="1"/>
  <c r="E41" i="117" a="1"/>
  <c r="E41" i="117" s="1"/>
  <c r="F21" i="102"/>
  <c r="F24" i="102" s="1"/>
  <c r="F36" i="102"/>
  <c r="D22" i="58"/>
  <c r="C29" i="58"/>
  <c r="D24" i="58"/>
  <c r="C31" i="58"/>
  <c r="C38" i="58" s="1"/>
  <c r="E20" i="98"/>
  <c r="E21" i="98"/>
  <c r="N4" i="98" s="1"/>
  <c r="D21" i="99"/>
  <c r="D14" i="99"/>
  <c r="O9" i="73"/>
  <c r="O10" i="73" s="1"/>
  <c r="O11" i="73" s="1"/>
  <c r="N9" i="73"/>
  <c r="N10" i="73" s="1"/>
  <c r="N11" i="73" s="1"/>
  <c r="H17" i="108"/>
  <c r="K13" i="108"/>
  <c r="T9" i="105"/>
  <c r="B30" i="85"/>
  <c r="B31" i="85" s="1"/>
  <c r="L8" i="114"/>
  <c r="M8" i="114"/>
  <c r="N8" i="114"/>
  <c r="O8" i="114"/>
  <c r="E30" i="102"/>
  <c r="E33" i="102" s="1"/>
  <c r="E18" i="102"/>
  <c r="K9" i="101"/>
  <c r="L9" i="101"/>
  <c r="J8" i="101"/>
  <c r="P9" i="73"/>
  <c r="P10" i="73" s="1"/>
  <c r="P11" i="73" s="1"/>
  <c r="XFD1048550" i="93" a="1"/>
  <c r="XFD1048550" i="93" s="1"/>
  <c r="XFD1048551" i="93" a="1"/>
  <c r="XFD1048551" i="93" s="1"/>
  <c r="XFD1048552" i="93" a="1"/>
  <c r="XFD1048552" i="93" s="1"/>
  <c r="XFD1048553" i="93" a="1"/>
  <c r="XFD1048553" i="93" s="1"/>
  <c r="XFD1048554" i="93" a="1"/>
  <c r="XFD1048554" i="93" s="1"/>
  <c r="XFD1048555" i="93" a="1"/>
  <c r="XFD1048555" i="93" s="1"/>
  <c r="XFD1048556" i="93" a="1"/>
  <c r="XFD1048556" i="93" s="1"/>
  <c r="XFD1048557" i="93" a="1"/>
  <c r="XFD1048557" i="93" s="1"/>
  <c r="XFD1048558" i="93" a="1"/>
  <c r="XFD1048558" i="93" s="1"/>
  <c r="XFD1048559" i="93" a="1"/>
  <c r="XFD1048559" i="93" s="1"/>
  <c r="XFD1048560" i="93" a="1"/>
  <c r="XFD1048560" i="93" s="1"/>
  <c r="XFD1048561" i="93" a="1"/>
  <c r="XFD1048561" i="93" s="1"/>
  <c r="XFD1048562" i="93" a="1"/>
  <c r="XFD1048562" i="93" s="1"/>
  <c r="XFD1048563" i="93" a="1"/>
  <c r="XFD1048563" i="93" s="1"/>
  <c r="XFD1048564" i="93" a="1"/>
  <c r="XFD1048564" i="93" s="1"/>
  <c r="XFD1048565" i="93" a="1"/>
  <c r="XFD1048565" i="93" s="1"/>
  <c r="XFD1048566" i="93" a="1"/>
  <c r="XFD1048566" i="93" s="1"/>
  <c r="XFD1048567" i="93" a="1"/>
  <c r="XFD1048567" i="93" s="1"/>
  <c r="XFD1048568" i="93" a="1"/>
  <c r="XFD1048568" i="93" s="1"/>
  <c r="XFD1048569" i="93" a="1"/>
  <c r="XFD1048569" i="93" s="1"/>
  <c r="XFD1048570" i="93" a="1"/>
  <c r="XFD1048570" i="93" s="1"/>
  <c r="XFD1048571" i="93" a="1"/>
  <c r="XFD1048571" i="93" s="1"/>
  <c r="XFD1048572" i="93" a="1"/>
  <c r="XFD1048572" i="93" s="1"/>
  <c r="XFD1048573" i="93" a="1"/>
  <c r="XFD1048573" i="93" s="1"/>
  <c r="XFD1048574" i="93" a="1"/>
  <c r="XFD1048574" i="93" s="1"/>
  <c r="XFD1048575" i="93" a="1"/>
  <c r="XFD1048575" i="93" s="1"/>
  <c r="L17" i="99" l="1"/>
  <c r="L7" i="99"/>
  <c r="E10" i="99"/>
  <c r="C36" i="58"/>
  <c r="F11" i="99"/>
  <c r="F14" i="99" s="1"/>
  <c r="G4" i="99"/>
  <c r="F15" i="99"/>
  <c r="F21" i="99" s="1"/>
  <c r="F8" i="101"/>
  <c r="M7" i="101"/>
  <c r="N7" i="98"/>
  <c r="N16" i="98"/>
  <c r="E10" i="101"/>
  <c r="F10" i="101"/>
  <c r="G10" i="101" s="1"/>
  <c r="H10" i="101" s="1"/>
  <c r="M9" i="101"/>
  <c r="J14" i="8"/>
  <c r="E21" i="102"/>
  <c r="E24" i="102" s="1"/>
  <c r="E36" i="102"/>
  <c r="E22" i="99"/>
  <c r="E23" i="99" s="1"/>
  <c r="N4" i="99" s="1"/>
  <c r="B9" i="59"/>
  <c r="C9" i="59"/>
  <c r="D9" i="59"/>
  <c r="A10" i="59"/>
  <c r="J7" i="110"/>
  <c r="J8" i="110"/>
  <c r="P17" i="98"/>
  <c r="P12" i="98"/>
  <c r="F25" i="102"/>
  <c r="F27" i="102"/>
  <c r="C37" i="58"/>
  <c r="L7" i="98"/>
  <c r="M16" i="98"/>
  <c r="K6" i="101"/>
  <c r="K15" i="101" s="1"/>
  <c r="L6" i="101"/>
  <c r="B21" i="98"/>
  <c r="K4" i="98" s="1"/>
  <c r="K7" i="98" s="1"/>
  <c r="K12" i="98" s="1"/>
  <c r="K13" i="98" s="1"/>
  <c r="B20" i="98"/>
  <c r="M13" i="98"/>
  <c r="K20" i="89"/>
  <c r="K21" i="89" s="1"/>
  <c r="J21" i="89"/>
  <c r="Q17" i="98"/>
  <c r="Q12" i="98"/>
  <c r="K8" i="101"/>
  <c r="E9" i="101" s="1"/>
  <c r="L8" i="101"/>
  <c r="D22" i="99"/>
  <c r="D23" i="99" s="1"/>
  <c r="M4" i="99" s="1"/>
  <c r="J6" i="110"/>
  <c r="O16" i="98"/>
  <c r="O17" i="98"/>
  <c r="O12" i="98"/>
  <c r="M17" i="99" l="1"/>
  <c r="M7" i="99"/>
  <c r="N17" i="99"/>
  <c r="N7" i="99"/>
  <c r="F41" i="102"/>
  <c r="F28" i="102" s="1"/>
  <c r="F26" i="102"/>
  <c r="F38" i="102"/>
  <c r="P22" i="98"/>
  <c r="P23" i="98" s="1"/>
  <c r="P13" i="98"/>
  <c r="P18" i="98"/>
  <c r="N17" i="98"/>
  <c r="N12" i="98"/>
  <c r="E8" i="101"/>
  <c r="G8" i="101" s="1"/>
  <c r="H8" i="101" s="1"/>
  <c r="M8" i="101"/>
  <c r="F9" i="101"/>
  <c r="G9" i="101" s="1"/>
  <c r="H9" i="101" s="1"/>
  <c r="Q22" i="98"/>
  <c r="Q23" i="98" s="1"/>
  <c r="Q13" i="98"/>
  <c r="Q18" i="98"/>
  <c r="B10" i="59"/>
  <c r="C10" i="59"/>
  <c r="D10" i="59"/>
  <c r="A11" i="59"/>
  <c r="E7" i="101"/>
  <c r="F22" i="99"/>
  <c r="F23" i="99" s="1"/>
  <c r="O4" i="99" s="1"/>
  <c r="O22" i="98"/>
  <c r="O23" i="98" s="1"/>
  <c r="K23" i="98" s="1"/>
  <c r="K25" i="98" s="1"/>
  <c r="K27" i="98" s="1"/>
  <c r="O13" i="98"/>
  <c r="O18" i="98"/>
  <c r="F9" i="59"/>
  <c r="G11" i="99"/>
  <c r="G10" i="99" s="1"/>
  <c r="H4" i="99"/>
  <c r="G15" i="99"/>
  <c r="G21" i="99" s="1"/>
  <c r="F10" i="99"/>
  <c r="M6" i="101"/>
  <c r="F7" i="101"/>
  <c r="C40" i="58"/>
  <c r="L16" i="98"/>
  <c r="E25" i="102"/>
  <c r="E27" i="102"/>
  <c r="L17" i="98"/>
  <c r="L12" i="98"/>
  <c r="M17" i="98"/>
  <c r="L18" i="99"/>
  <c r="L12" i="99"/>
  <c r="O17" i="99" l="1"/>
  <c r="O7" i="99"/>
  <c r="L14" i="99"/>
  <c r="L13" i="99"/>
  <c r="N13" i="98"/>
  <c r="N18" i="98"/>
  <c r="L13" i="98"/>
  <c r="L18" i="98"/>
  <c r="M18" i="98"/>
  <c r="E26" i="102"/>
  <c r="E38" i="102"/>
  <c r="F34" i="102"/>
  <c r="F35" i="102"/>
  <c r="E28" i="102"/>
  <c r="E37" i="102"/>
  <c r="F37" i="102"/>
  <c r="B11" i="59"/>
  <c r="F11" i="59" s="1"/>
  <c r="C11" i="59"/>
  <c r="D11" i="59"/>
  <c r="A12" i="59"/>
  <c r="N12" i="99"/>
  <c r="N18" i="99"/>
  <c r="G7" i="101"/>
  <c r="H7" i="101" s="1"/>
  <c r="K13" i="101" s="1"/>
  <c r="F10" i="59"/>
  <c r="G22" i="99"/>
  <c r="G23" i="99"/>
  <c r="P4" i="99" s="1"/>
  <c r="H15" i="99"/>
  <c r="H11" i="99"/>
  <c r="H10" i="99" s="1"/>
  <c r="M18" i="99"/>
  <c r="M12" i="99"/>
  <c r="H21" i="99" l="1"/>
  <c r="R22" i="99"/>
  <c r="R23" i="99" s="1"/>
  <c r="P17" i="99"/>
  <c r="P7" i="99"/>
  <c r="N14" i="99"/>
  <c r="N13" i="99"/>
  <c r="C12" i="59"/>
  <c r="D12" i="59"/>
  <c r="A13" i="59"/>
  <c r="B12" i="59"/>
  <c r="E34" i="102"/>
  <c r="E35" i="102"/>
  <c r="M14" i="99"/>
  <c r="M13" i="99"/>
  <c r="O12" i="99"/>
  <c r="O18" i="99"/>
  <c r="O14" i="99" l="1"/>
  <c r="O22" i="99"/>
  <c r="O23" i="99" s="1"/>
  <c r="O13" i="99"/>
  <c r="B13" i="59"/>
  <c r="C13" i="59"/>
  <c r="D13" i="59"/>
  <c r="A14" i="59"/>
  <c r="F12" i="59"/>
  <c r="P18" i="99"/>
  <c r="P12" i="99"/>
  <c r="H22" i="99"/>
  <c r="H23" i="99" s="1"/>
  <c r="Q4" i="99" s="1"/>
  <c r="Q7" i="99" l="1"/>
  <c r="Q17" i="99"/>
  <c r="F13" i="59"/>
  <c r="B14" i="59"/>
  <c r="C14" i="59"/>
  <c r="D14" i="59"/>
  <c r="A15" i="59"/>
  <c r="P14" i="99"/>
  <c r="P22" i="99"/>
  <c r="P23" i="99" s="1"/>
  <c r="P13" i="99"/>
  <c r="D15" i="59" l="1"/>
  <c r="A16" i="59"/>
  <c r="C15" i="59"/>
  <c r="B15" i="59"/>
  <c r="F15" i="59" s="1"/>
  <c r="F14" i="59"/>
  <c r="Q18" i="99"/>
  <c r="Q12" i="99"/>
  <c r="B16" i="59" l="1"/>
  <c r="C16" i="59"/>
  <c r="D16" i="59"/>
  <c r="A17" i="59"/>
  <c r="Q14" i="99"/>
  <c r="Q22" i="99"/>
  <c r="Q23" i="99" s="1"/>
  <c r="K23" i="99" s="1"/>
  <c r="K25" i="99" s="1"/>
  <c r="K27" i="99" s="1"/>
  <c r="K29" i="99" s="1"/>
  <c r="Q13" i="99"/>
  <c r="F16" i="59" l="1"/>
  <c r="B17" i="59"/>
  <c r="C17" i="59"/>
  <c r="D17" i="59"/>
  <c r="A18" i="59"/>
  <c r="F17" i="59" l="1"/>
  <c r="A19" i="59"/>
  <c r="B18" i="59"/>
  <c r="D18" i="59"/>
  <c r="C18" i="59"/>
  <c r="F18" i="59" l="1"/>
  <c r="B19" i="59"/>
  <c r="C19" i="59"/>
  <c r="D19" i="59"/>
  <c r="A20" i="59"/>
  <c r="F19" i="59" l="1"/>
  <c r="B20" i="59"/>
  <c r="C20" i="59"/>
  <c r="D20" i="59"/>
  <c r="A21" i="59"/>
  <c r="F20" i="59" l="1"/>
  <c r="A22" i="59"/>
  <c r="C21" i="59"/>
  <c r="B21" i="59"/>
  <c r="D21" i="59"/>
  <c r="B22" i="59" l="1"/>
  <c r="F22" i="59" s="1"/>
  <c r="C22" i="59"/>
  <c r="D22" i="59"/>
  <c r="A23" i="59"/>
  <c r="F21" i="59"/>
  <c r="B23" i="59" l="1"/>
  <c r="C23" i="59"/>
  <c r="D23" i="59"/>
  <c r="A24" i="59"/>
  <c r="F23" i="59" l="1"/>
  <c r="B24" i="59"/>
  <c r="D24" i="59"/>
  <c r="A25" i="59"/>
  <c r="C24" i="59"/>
  <c r="F24" i="59" l="1"/>
  <c r="B25" i="59"/>
  <c r="F25" i="59" s="1"/>
  <c r="C25" i="59"/>
  <c r="D25" i="59"/>
  <c r="A26" i="59"/>
  <c r="B26" i="59" l="1"/>
  <c r="C26" i="59"/>
  <c r="D26" i="59"/>
  <c r="A27" i="59"/>
  <c r="F26" i="59" l="1"/>
  <c r="B27" i="59"/>
  <c r="C27" i="59"/>
  <c r="D27" i="59"/>
  <c r="A28" i="59"/>
  <c r="C28" i="59" l="1"/>
  <c r="D28" i="59"/>
  <c r="A29" i="59"/>
  <c r="B28" i="59"/>
  <c r="F28" i="59" s="1"/>
  <c r="F27" i="59"/>
  <c r="B29" i="59" l="1"/>
  <c r="C29" i="59"/>
  <c r="D29" i="59"/>
  <c r="A30" i="59"/>
  <c r="B30" i="59" l="1"/>
  <c r="C30" i="59"/>
  <c r="D30" i="59"/>
  <c r="A31" i="59"/>
  <c r="F29" i="59"/>
  <c r="D31" i="59" l="1"/>
  <c r="A32" i="59"/>
  <c r="C31" i="59"/>
  <c r="B31" i="59"/>
  <c r="F31" i="59" s="1"/>
  <c r="F30" i="59"/>
  <c r="B32" i="59" l="1"/>
  <c r="C32" i="59"/>
  <c r="D32" i="59"/>
  <c r="A33" i="59"/>
  <c r="B33" i="59" l="1"/>
  <c r="C33" i="59"/>
  <c r="D33" i="59"/>
  <c r="A34" i="59"/>
  <c r="F32" i="59"/>
  <c r="A35" i="59" l="1"/>
  <c r="B34" i="59"/>
  <c r="D34" i="59"/>
  <c r="C34" i="59"/>
  <c r="F33" i="59"/>
  <c r="F34" i="59" l="1"/>
  <c r="B35" i="59"/>
  <c r="C35" i="59"/>
  <c r="D35" i="59"/>
  <c r="A36" i="59"/>
  <c r="B36" i="59" l="1"/>
  <c r="C36" i="59"/>
  <c r="D36" i="59"/>
  <c r="A37" i="59"/>
  <c r="F35" i="59"/>
  <c r="A38" i="59" l="1"/>
  <c r="C37" i="59"/>
  <c r="B37" i="59"/>
  <c r="D37" i="59"/>
  <c r="F36" i="59"/>
  <c r="F37" i="59" l="1"/>
  <c r="B38" i="59"/>
  <c r="C38" i="59"/>
  <c r="D38" i="59"/>
  <c r="A39" i="59"/>
  <c r="B39" i="59" l="1"/>
  <c r="C39" i="59"/>
  <c r="D39" i="59"/>
  <c r="A40" i="59"/>
  <c r="F38" i="59"/>
  <c r="B40" i="59" l="1"/>
  <c r="D40" i="59"/>
  <c r="A41" i="59"/>
  <c r="C40" i="59"/>
  <c r="F39" i="59"/>
  <c r="B41" i="59" l="1"/>
  <c r="C41" i="59"/>
  <c r="D41" i="59"/>
  <c r="A42" i="59"/>
  <c r="F40" i="59"/>
  <c r="B42" i="59" l="1"/>
  <c r="C42" i="59"/>
  <c r="D42" i="59"/>
  <c r="A43" i="59"/>
  <c r="F41" i="59"/>
  <c r="B43" i="59" l="1"/>
  <c r="C43" i="59"/>
  <c r="D43" i="59"/>
  <c r="A44" i="59"/>
  <c r="F42" i="59"/>
  <c r="C44" i="59" l="1"/>
  <c r="D44" i="59"/>
  <c r="A45" i="59"/>
  <c r="B44" i="59"/>
  <c r="F44" i="59" s="1"/>
  <c r="F43" i="59"/>
  <c r="B45" i="59" l="1"/>
  <c r="C45" i="59"/>
  <c r="D45" i="59"/>
  <c r="A46" i="59"/>
  <c r="B46" i="59" l="1"/>
  <c r="C46" i="59"/>
  <c r="D46" i="59"/>
  <c r="A47" i="59"/>
  <c r="F45" i="59"/>
  <c r="D47" i="59" l="1"/>
  <c r="A48" i="59"/>
  <c r="C47" i="59"/>
  <c r="B47" i="59"/>
  <c r="F47" i="59" s="1"/>
  <c r="F46" i="59"/>
  <c r="B48" i="59" l="1"/>
  <c r="C48" i="59"/>
  <c r="D48" i="59"/>
  <c r="A49" i="59"/>
  <c r="B49" i="59" l="1"/>
  <c r="C49" i="59"/>
  <c r="D49" i="59"/>
  <c r="A50" i="59"/>
  <c r="F48" i="59"/>
  <c r="A51" i="59" l="1"/>
  <c r="B50" i="59"/>
  <c r="D50" i="59"/>
  <c r="C50" i="59"/>
  <c r="F49" i="59"/>
  <c r="F50" i="59" l="1"/>
  <c r="B51" i="59"/>
  <c r="C51" i="59"/>
  <c r="D51" i="59"/>
  <c r="A52" i="59"/>
  <c r="B52" i="59" l="1"/>
  <c r="C52" i="59"/>
  <c r="D52" i="59"/>
  <c r="A53" i="59"/>
  <c r="F51" i="59"/>
  <c r="A54" i="59" l="1"/>
  <c r="C53" i="59"/>
  <c r="B53" i="59"/>
  <c r="D53" i="59"/>
  <c r="F52" i="59"/>
  <c r="F53" i="59" l="1"/>
  <c r="B54" i="59"/>
  <c r="C54" i="59"/>
  <c r="D54" i="59"/>
  <c r="A55" i="59"/>
  <c r="B55" i="59" l="1"/>
  <c r="C55" i="59"/>
  <c r="D55" i="59"/>
  <c r="A56" i="59"/>
  <c r="F54" i="59"/>
  <c r="B56" i="59" l="1"/>
  <c r="D56" i="59"/>
  <c r="A57" i="59"/>
  <c r="C56" i="59"/>
  <c r="F55" i="59"/>
  <c r="B57" i="59" l="1"/>
  <c r="C57" i="59"/>
  <c r="D57" i="59"/>
  <c r="A58" i="59"/>
  <c r="F56" i="59"/>
  <c r="B58" i="59" l="1"/>
  <c r="C58" i="59"/>
  <c r="D58" i="59"/>
  <c r="A59" i="59"/>
  <c r="F57" i="59"/>
  <c r="B59" i="59" l="1"/>
  <c r="C59" i="59"/>
  <c r="D59" i="59"/>
  <c r="A60" i="59"/>
  <c r="F58" i="59"/>
  <c r="C60" i="59" l="1"/>
  <c r="D60" i="59"/>
  <c r="A61" i="59"/>
  <c r="B60" i="59"/>
  <c r="F60" i="59" s="1"/>
  <c r="F59" i="59"/>
  <c r="B61" i="59" l="1"/>
  <c r="C61" i="59"/>
  <c r="D61" i="59"/>
  <c r="A62" i="59"/>
  <c r="B62" i="59" l="1"/>
  <c r="C62" i="59"/>
  <c r="D62" i="59"/>
  <c r="A63" i="59"/>
  <c r="F61" i="59"/>
  <c r="D63" i="59" l="1"/>
  <c r="C63" i="59"/>
  <c r="B63" i="59"/>
  <c r="F63" i="59" s="1"/>
  <c r="F62" i="5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tc={0FA037A2-23C9-4797-A283-D172A8BF8031}</author>
  </authors>
  <commentList>
    <comment ref="K24" authorId="0" shapeId="0" xr:uid="{0FA037A2-23C9-4797-A283-D172A8BF8031}">
      <text>
        <t>[Threaded comment]
Your version of Excel allows you to read this threaded comment; however, any edits to it will get removed if the file is opened in a newer version of Excel. Learn more: https://go.microsoft.com/fwlink/?linkid=870924
Comment:
     At the end of 2023 Summit Strides has $20MM in debt and $10M in cash, implying net debt of $10MM.  See balance sheet.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<sst xmlns="http://schemas.openxmlformats.org/spreadsheetml/2006/main" count="2947" uniqueCount="1287">
  <si>
    <t>E[r]</t>
  </si>
  <si>
    <t>s</t>
  </si>
  <si>
    <t>Product</t>
  </si>
  <si>
    <t>DUKE</t>
  </si>
  <si>
    <t>DATE</t>
  </si>
  <si>
    <t>Autoliv</t>
  </si>
  <si>
    <t>Portfolio</t>
  </si>
  <si>
    <r>
      <t>r</t>
    </r>
    <r>
      <rPr>
        <vertAlign val="subscript"/>
        <sz val="11"/>
        <color theme="1"/>
        <rFont val="Calibri"/>
        <family val="2"/>
        <scheme val="minor"/>
      </rPr>
      <t>A</t>
    </r>
  </si>
  <si>
    <r>
      <t>r</t>
    </r>
    <r>
      <rPr>
        <vertAlign val="subscript"/>
        <sz val="11"/>
        <color theme="1"/>
        <rFont val="Calibri"/>
        <family val="2"/>
        <scheme val="minor"/>
      </rPr>
      <t>p</t>
    </r>
  </si>
  <si>
    <t>a</t>
  </si>
  <si>
    <t>b</t>
  </si>
  <si>
    <r>
      <t>E[r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]</t>
    </r>
  </si>
  <si>
    <r>
      <t>E[r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]</t>
    </r>
  </si>
  <si>
    <r>
      <t>E[r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|r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]</t>
    </r>
  </si>
  <si>
    <t>SEASON</t>
  </si>
  <si>
    <t>%WINS</t>
  </si>
  <si>
    <t>AVG PPG by TOP SCORER</t>
  </si>
  <si>
    <t>y</t>
  </si>
  <si>
    <t>x</t>
  </si>
  <si>
    <t>residuals</t>
  </si>
  <si>
    <t>points to plot line</t>
  </si>
  <si>
    <t>X</t>
  </si>
  <si>
    <t>Y</t>
  </si>
  <si>
    <t>rA</t>
  </si>
  <si>
    <t>rp</t>
  </si>
  <si>
    <r>
      <t>Average(r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)</t>
    </r>
  </si>
  <si>
    <r>
      <t>Average(r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)</t>
    </r>
  </si>
  <si>
    <r>
      <t>COV(r</t>
    </r>
    <r>
      <rPr>
        <b/>
        <vertAlign val="subscript"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, residuals)</t>
    </r>
  </si>
  <si>
    <r>
      <t>CORRELL(r</t>
    </r>
    <r>
      <rPr>
        <b/>
        <vertAlign val="subscript"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, residuals)</t>
    </r>
  </si>
  <si>
    <t>Covar(x,residual)</t>
  </si>
  <si>
    <t>Correl(x,residual)</t>
  </si>
  <si>
    <t>Google</t>
  </si>
  <si>
    <t>residual</t>
  </si>
  <si>
    <t>Cov(x,residual)</t>
  </si>
  <si>
    <t>Variance of Residual</t>
  </si>
  <si>
    <t>Variance of Google</t>
  </si>
  <si>
    <t>Check</t>
  </si>
  <si>
    <t>Fraction of Google's variance unrelated to tech industry</t>
  </si>
  <si>
    <t>Tech Portfolio</t>
  </si>
  <si>
    <t>Fraction of Google's variance explained by variation in tech industry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</si>
  <si>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</si>
  <si>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</si>
  <si>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</si>
  <si>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</si>
  <si>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</si>
  <si>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</si>
  <si>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</si>
  <si>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</si>
  <si>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</si>
  <si>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</si>
  <si>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</si>
  <si>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</si>
  <si>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</si>
  <si>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</si>
  <si>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</si>
  <si>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</si>
  <si>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</si>
  <si>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</si>
  <si>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</si>
  <si>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</si>
  <si>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</si>
  <si>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</si>
  <si>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</si>
  <si>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Lower 95.0%</t>
  </si>
  <si>
    <t>Upper 95.0%</t>
  </si>
  <si>
    <t>X Variable 2</t>
  </si>
  <si>
    <t>risk-free</t>
  </si>
  <si>
    <t>Portfolio tilted towards</t>
  </si>
  <si>
    <t>Stock 1</t>
  </si>
  <si>
    <t>Stock 2</t>
  </si>
  <si>
    <r>
      <t>r</t>
    </r>
    <r>
      <rPr>
        <b/>
        <vertAlign val="subscript"/>
        <sz val="18"/>
        <color theme="1"/>
        <rFont val="Calibri"/>
        <family val="2"/>
        <scheme val="minor"/>
      </rPr>
      <t>T1</t>
    </r>
  </si>
  <si>
    <r>
      <t>r</t>
    </r>
    <r>
      <rPr>
        <b/>
        <vertAlign val="subscript"/>
        <sz val="18"/>
        <color theme="1"/>
        <rFont val="Calibri"/>
        <family val="2"/>
        <scheme val="minor"/>
      </rPr>
      <t>T2</t>
    </r>
  </si>
  <si>
    <t>beta</t>
  </si>
  <si>
    <t>alphas</t>
  </si>
  <si>
    <t>Sharpe</t>
  </si>
  <si>
    <t>Expected Returns</t>
  </si>
  <si>
    <t>stock 1</t>
  </si>
  <si>
    <t>stock 2</t>
  </si>
  <si>
    <t>stock 3</t>
  </si>
  <si>
    <t>Covariance Matrix</t>
  </si>
  <si>
    <t>current portfolio</t>
  </si>
  <si>
    <t>Optimal portfolio</t>
  </si>
  <si>
    <t>portfolio weights</t>
  </si>
  <si>
    <t>Cov(r,rp)</t>
  </si>
  <si>
    <t>Betas</t>
  </si>
  <si>
    <t>stock1</t>
  </si>
  <si>
    <t>stock2</t>
  </si>
  <si>
    <t>stock3</t>
  </si>
  <si>
    <t>Var(rp)</t>
  </si>
  <si>
    <t>E[rp]</t>
  </si>
  <si>
    <t>IBM</t>
  </si>
  <si>
    <t>COG</t>
  </si>
  <si>
    <t>AAPL</t>
  </si>
  <si>
    <t>rf</t>
  </si>
  <si>
    <t>Arbitrary Portfolios</t>
  </si>
  <si>
    <t>w(IBM)</t>
  </si>
  <si>
    <t>w(COG)</t>
  </si>
  <si>
    <t>w(AAPL)</t>
  </si>
  <si>
    <t>stdev</t>
  </si>
  <si>
    <t>Mean-Variance Efficient Portfolios</t>
  </si>
  <si>
    <t>Target E[r]</t>
  </si>
  <si>
    <t>Max Sharpe</t>
  </si>
  <si>
    <t>Mkt</t>
  </si>
  <si>
    <t>Market</t>
  </si>
  <si>
    <t>weights</t>
  </si>
  <si>
    <t>intercept</t>
  </si>
  <si>
    <t>MKT</t>
  </si>
  <si>
    <t>MKT-rf</t>
  </si>
  <si>
    <t>Date</t>
  </si>
  <si>
    <t>Amazon</t>
  </si>
  <si>
    <t>100 stocks</t>
  </si>
  <si>
    <t>b_MKT</t>
  </si>
  <si>
    <t>10 stocks</t>
  </si>
  <si>
    <t>Regressions</t>
  </si>
  <si>
    <t>Fraction Firm-Specific</t>
  </si>
  <si>
    <t>Var(residuals)</t>
  </si>
  <si>
    <t>X Variable 3</t>
  </si>
  <si>
    <t>SMB</t>
  </si>
  <si>
    <t>Annualized</t>
  </si>
  <si>
    <t>HML</t>
  </si>
  <si>
    <t>RMW</t>
  </si>
  <si>
    <t>CMA</t>
  </si>
  <si>
    <t>Stdev</t>
  </si>
  <si>
    <t>X Variable 4</t>
  </si>
  <si>
    <t>X Variable 5</t>
  </si>
  <si>
    <r>
      <t>b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Var(x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</si>
  <si>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Tilt</t>
  </si>
  <si>
    <t>10-stocks</t>
  </si>
  <si>
    <t>100-stocks</t>
  </si>
  <si>
    <t>Volatility</t>
  </si>
  <si>
    <t>Tilted</t>
  </si>
  <si>
    <t>Change</t>
  </si>
  <si>
    <t>alpha</t>
  </si>
  <si>
    <t>slope</t>
  </si>
  <si>
    <t>risk-free rate</t>
  </si>
  <si>
    <t>A</t>
  </si>
  <si>
    <t>B</t>
  </si>
  <si>
    <t>C</t>
  </si>
  <si>
    <t>price</t>
  </si>
  <si>
    <t>shares</t>
  </si>
  <si>
    <r>
      <t xml:space="preserve">time </t>
    </r>
    <r>
      <rPr>
        <i/>
        <sz val="11"/>
        <color theme="1"/>
        <rFont val="Calibri"/>
        <family val="2"/>
        <scheme val="minor"/>
      </rPr>
      <t>t</t>
    </r>
  </si>
  <si>
    <r>
      <t xml:space="preserve">time </t>
    </r>
    <r>
      <rPr>
        <i/>
        <sz val="11"/>
        <color theme="1"/>
        <rFont val="Calibri"/>
        <family val="2"/>
        <scheme val="minor"/>
      </rPr>
      <t>t+1</t>
    </r>
  </si>
  <si>
    <r>
      <t xml:space="preserve">To create a value-weighted portfolio of these three stocks at time </t>
    </r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, what would your portfolio weights need to be?</t>
    </r>
  </si>
  <si>
    <t>market cap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</si>
  <si>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</si>
  <si>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</si>
  <si>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</si>
  <si>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</si>
  <si>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</si>
  <si>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</si>
  <si>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</si>
  <si>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Asset Value</t>
  </si>
  <si>
    <t>Call(X=80)</t>
  </si>
  <si>
    <t>Call(X=100)</t>
  </si>
  <si>
    <t>Call(X=120)</t>
  </si>
  <si>
    <t>Butterfly</t>
  </si>
  <si>
    <t>Market Cap Of Equity</t>
  </si>
  <si>
    <t>Face value of Debt</t>
  </si>
  <si>
    <t>Maturity (in years)</t>
  </si>
  <si>
    <t>Firm Value</t>
  </si>
  <si>
    <t>Black-Scholes</t>
  </si>
  <si>
    <t>Market Value of Firm's Debt</t>
  </si>
  <si>
    <t>Historical Data</t>
  </si>
  <si>
    <t>mean</t>
  </si>
  <si>
    <t>Projects are independent</t>
  </si>
  <si>
    <t>1 firm</t>
  </si>
  <si>
    <t>Returns</t>
  </si>
  <si>
    <t>Return</t>
  </si>
  <si>
    <t>Outcome</t>
  </si>
  <si>
    <t>Probability</t>
  </si>
  <si>
    <t>5000 Shares</t>
  </si>
  <si>
    <t>S</t>
  </si>
  <si>
    <t>T</t>
  </si>
  <si>
    <t>Call Value</t>
  </si>
  <si>
    <t>Voaltility of Assets</t>
  </si>
  <si>
    <t>Excess Returns</t>
  </si>
  <si>
    <t>b_SMB</t>
  </si>
  <si>
    <t>b_HML</t>
  </si>
  <si>
    <t>Total Returns</t>
  </si>
  <si>
    <t>Oil Portfolio</t>
  </si>
  <si>
    <r>
      <t xml:space="preserve">shares </t>
    </r>
    <r>
      <rPr>
        <sz val="8"/>
        <color theme="1"/>
        <rFont val="Calibri"/>
        <family val="2"/>
        <scheme val="minor"/>
      </rPr>
      <t>(mm)</t>
    </r>
  </si>
  <si>
    <t>Problem 1:</t>
  </si>
  <si>
    <t>HOG</t>
  </si>
  <si>
    <t>ZION</t>
  </si>
  <si>
    <t>Var</t>
  </si>
  <si>
    <t>60% HOG</t>
  </si>
  <si>
    <t>40% ZIONS</t>
  </si>
  <si>
    <t>Problem 2:</t>
  </si>
  <si>
    <t>Problem 3:</t>
  </si>
  <si>
    <t>80% in Zions</t>
  </si>
  <si>
    <t>20% in bonds</t>
  </si>
  <si>
    <t xml:space="preserve">Problem 4: </t>
  </si>
  <si>
    <t>Problem 5:</t>
  </si>
  <si>
    <t>Problem 6:</t>
  </si>
  <si>
    <t>Forecast Errors</t>
  </si>
  <si>
    <t>First-Solar</t>
  </si>
  <si>
    <t>Duke Energy</t>
  </si>
  <si>
    <t>Covariance using Excel's "covar" function :</t>
  </si>
  <si>
    <t>Correlation  using Excel's "correl" function :</t>
  </si>
  <si>
    <t>Covariance without using Excel's "covar" function:</t>
  </si>
  <si>
    <t>(using Excel's functions)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</si>
  <si>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</si>
  <si>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</si>
  <si>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</si>
  <si>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</si>
  <si>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</si>
  <si>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</si>
  <si>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</si>
  <si>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</si>
  <si>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</si>
  <si>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</si>
  <si>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</si>
  <si>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</si>
  <si>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</si>
  <si>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</si>
  <si>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</si>
  <si>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</si>
  <si>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</si>
  <si>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</si>
  <si>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</si>
  <si>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</si>
  <si>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</si>
  <si>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</si>
  <si>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</si>
  <si>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</si>
  <si>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</si>
  <si>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</si>
  <si>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</si>
  <si>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</si>
  <si>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</si>
  <si>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</si>
  <si>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</si>
  <si>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</si>
  <si>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</si>
  <si>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</si>
  <si>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</si>
  <si>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</si>
  <si>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</si>
  <si>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</si>
  <si>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</si>
  <si>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</si>
  <si>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</si>
  <si>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</si>
  <si>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</si>
  <si>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</si>
  <si>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</si>
  <si>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</si>
  <si>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</si>
  <si>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</si>
  <si>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</si>
  <si>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</si>
  <si>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</si>
  <si>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</si>
  <si>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</si>
  <si>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</si>
  <si>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</si>
  <si>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</si>
  <si>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</si>
  <si>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</si>
  <si>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</si>
  <si>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Regression Using</t>
  </si>
  <si>
    <t>First_Solar</t>
  </si>
  <si>
    <r>
      <rPr>
        <b/>
        <u/>
        <sz val="11"/>
        <color theme="1"/>
        <rFont val="Calibri"/>
        <family val="2"/>
        <scheme val="minor"/>
      </rPr>
      <t>Excess</t>
    </r>
    <r>
      <rPr>
        <b/>
        <sz val="11"/>
        <color theme="1"/>
        <rFont val="Calibri"/>
        <family val="2"/>
        <scheme val="minor"/>
      </rPr>
      <t xml:space="preserve"> Returns</t>
    </r>
  </si>
  <si>
    <t>Fraction Systematic</t>
  </si>
  <si>
    <t>ALL</t>
  </si>
  <si>
    <t>Residuals</t>
  </si>
  <si>
    <t>Mkt-RF</t>
  </si>
  <si>
    <t>Boyer Fund</t>
  </si>
  <si>
    <t>Bates and</t>
  </si>
  <si>
    <t>COST</t>
  </si>
  <si>
    <t>DIS</t>
  </si>
  <si>
    <t>GE</t>
  </si>
  <si>
    <t>returns</t>
  </si>
  <si>
    <t>Variance from Historical Returns</t>
  </si>
  <si>
    <t>Variance from covariance matrix</t>
  </si>
  <si>
    <t>E[r]-rf</t>
  </si>
  <si>
    <t>Alpha</t>
  </si>
  <si>
    <t>Beta</t>
  </si>
  <si>
    <t xml:space="preserve">Stock1 </t>
  </si>
  <si>
    <t>Mean</t>
  </si>
  <si>
    <t>Security</t>
  </si>
  <si>
    <t>Equally-weighted</t>
  </si>
  <si>
    <t>Factors</t>
  </si>
  <si>
    <t>Long-Short Portfolios</t>
  </si>
  <si>
    <t>tilt</t>
  </si>
  <si>
    <t xml:space="preserve">Tilted </t>
  </si>
  <si>
    <t>Original</t>
  </si>
  <si>
    <t xml:space="preserve">Rate of </t>
  </si>
  <si>
    <t>2021-12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</si>
  <si>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</si>
  <si>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</si>
  <si>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</si>
  <si>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</si>
  <si>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</si>
  <si>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</si>
  <si>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</si>
  <si>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</si>
  <si>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</si>
  <si>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</si>
  <si>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</si>
  <si>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</si>
  <si>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</si>
  <si>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</si>
  <si>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</si>
  <si>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</si>
  <si>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</si>
  <si>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</si>
  <si>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</si>
  <si>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</si>
  <si>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</si>
  <si>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</si>
  <si>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</si>
  <si>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</si>
  <si>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</si>
  <si>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</si>
  <si>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</si>
  <si>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</si>
  <si>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</si>
  <si>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</si>
  <si>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</si>
  <si>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</si>
  <si>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</si>
  <si>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</si>
  <si>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</si>
  <si>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</si>
  <si>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</si>
  <si>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</si>
  <si>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</si>
  <si>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</si>
  <si>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</si>
  <si>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</si>
  <si>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</si>
  <si>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</si>
  <si>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</si>
  <si>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</si>
  <si>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</si>
  <si>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</si>
  <si>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</si>
  <si>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</si>
  <si>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</si>
  <si>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</si>
  <si>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</si>
  <si>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</si>
  <si>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</si>
  <si>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</si>
  <si>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</si>
  <si>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</si>
  <si>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</si>
  <si>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</si>
  <si>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</si>
  <si>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</si>
  <si>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</si>
  <si>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</si>
  <si>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</si>
  <si>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</si>
  <si>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</si>
  <si>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</si>
  <si>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</si>
  <si>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</si>
  <si>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</si>
  <si>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</si>
  <si>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</si>
  <si>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</si>
  <si>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</si>
  <si>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</si>
  <si>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</si>
  <si>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</si>
  <si>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</si>
  <si>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</si>
  <si>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</si>
  <si>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</si>
  <si>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</si>
  <si>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</si>
  <si>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</si>
  <si>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</si>
  <si>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</si>
  <si>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</si>
  <si>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</si>
  <si>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</si>
  <si>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</si>
  <si>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</si>
  <si>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</si>
  <si>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</si>
  <si>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</si>
  <si>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</si>
  <si>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</si>
  <si>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</si>
  <si>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</si>
  <si>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</si>
  <si>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</si>
  <si>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</si>
  <si>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</si>
  <si>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</si>
  <si>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</si>
  <si>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</si>
  <si>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</si>
  <si>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</si>
  <si>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</si>
  <si>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</si>
  <si>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</si>
  <si>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</si>
  <si>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</si>
  <si>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</si>
  <si>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</si>
  <si>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</si>
  <si>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</si>
  <si>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</si>
  <si>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</si>
  <si>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</si>
  <si>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</si>
  <si>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</si>
  <si>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</si>
  <si>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</si>
  <si>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</si>
  <si>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</si>
  <si>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</si>
  <si>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</si>
  <si>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</si>
  <si>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</si>
  <si>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</si>
  <si>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</si>
  <si>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</si>
  <si>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</si>
  <si>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</si>
  <si>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</si>
  <si>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</si>
  <si>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</si>
  <si>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</si>
  <si>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</si>
  <si>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</si>
  <si>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</si>
  <si>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</si>
  <si>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</si>
  <si>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</si>
  <si>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</si>
  <si>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</si>
  <si>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</si>
  <si>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</si>
  <si>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</si>
  <si>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</si>
  <si>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</si>
  <si>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</si>
  <si>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</si>
  <si>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</si>
  <si>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</si>
  <si>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</si>
  <si>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</si>
  <si>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</si>
  <si>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</si>
  <si>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</si>
  <si>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</si>
  <si>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</si>
  <si>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</si>
  <si>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</si>
  <si>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</si>
  <si>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</si>
  <si>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</si>
  <si>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</si>
  <si>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</si>
  <si>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</si>
  <si>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</si>
  <si>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</si>
  <si>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</si>
  <si>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</si>
  <si>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</si>
  <si>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</si>
  <si>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</si>
  <si>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</si>
  <si>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</si>
  <si>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</si>
  <si>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</si>
  <si>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</si>
  <si>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</si>
  <si>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</si>
  <si>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</si>
  <si>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</si>
  <si>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</si>
  <si>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</si>
  <si>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</si>
  <si>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</si>
  <si>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</si>
  <si>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</si>
  <si>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</si>
  <si>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</si>
  <si>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</si>
  <si>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</si>
  <si>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</si>
  <si>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</si>
  <si>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</si>
  <si>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</si>
  <si>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</si>
  <si>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</si>
  <si>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</si>
  <si>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</si>
  <si>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</si>
  <si>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</si>
  <si>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</si>
  <si>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</si>
  <si>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</si>
  <si>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</si>
  <si>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</si>
  <si>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</si>
  <si>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</si>
  <si>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</si>
  <si>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</si>
  <si>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</si>
  <si>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</si>
  <si>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</si>
  <si>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</si>
  <si>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</si>
  <si>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</si>
  <si>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</si>
  <si>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</si>
  <si>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</si>
  <si>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</si>
  <si>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</si>
  <si>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</si>
  <si>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</si>
  <si>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</si>
  <si>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</si>
  <si>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</si>
  <si>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</si>
  <si>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</si>
  <si>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</si>
  <si>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</si>
  <si>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</si>
  <si>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</si>
  <si>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</si>
  <si>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</si>
  <si>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</si>
  <si>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</si>
  <si>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</si>
  <si>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</si>
  <si>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</si>
  <si>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</si>
  <si>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</si>
  <si>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</si>
  <si>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</si>
  <si>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</si>
  <si>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</si>
  <si>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</si>
  <si>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</si>
  <si>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</si>
  <si>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</si>
  <si>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</si>
  <si>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</si>
  <si>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</si>
  <si>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</si>
  <si>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</si>
  <si>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</si>
  <si>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</si>
  <si>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</si>
  <si>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</si>
  <si>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</si>
  <si>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</si>
  <si>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</si>
  <si>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</si>
  <si>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</si>
  <si>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</si>
  <si>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</si>
  <si>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</si>
  <si>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</si>
  <si>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</si>
  <si>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</si>
  <si>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</si>
  <si>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</si>
  <si>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</si>
  <si>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</si>
  <si>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</si>
  <si>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</si>
  <si>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</si>
  <si>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</si>
  <si>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</si>
  <si>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</si>
  <si>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</si>
  <si>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</si>
  <si>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</si>
  <si>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</si>
  <si>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</si>
  <si>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</si>
  <si>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</si>
  <si>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</si>
  <si>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</si>
  <si>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</si>
  <si>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</si>
  <si>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</si>
  <si>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</si>
  <si>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</si>
  <si>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</si>
  <si>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</si>
  <si>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</si>
  <si>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</si>
  <si>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</si>
  <si>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</si>
  <si>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</si>
  <si>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</si>
  <si>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</si>
  <si>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</si>
  <si>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</si>
  <si>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</si>
  <si>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</si>
  <si>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</si>
  <si>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</si>
  <si>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</si>
  <si>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</si>
  <si>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</si>
  <si>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</si>
  <si>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</si>
  <si>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</si>
  <si>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</si>
  <si>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</si>
  <si>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</si>
  <si>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</si>
  <si>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</si>
  <si>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</si>
  <si>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</si>
  <si>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</si>
  <si>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</si>
  <si>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</si>
  <si>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</si>
  <si>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</si>
  <si>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</si>
  <si>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</si>
  <si>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</si>
  <si>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</si>
  <si>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</si>
  <si>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</si>
  <si>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</si>
  <si>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</si>
  <si>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</si>
  <si>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</si>
  <si>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</si>
  <si>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</si>
  <si>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</si>
  <si>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</si>
  <si>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</si>
  <si>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</si>
  <si>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</si>
  <si>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</si>
  <si>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</si>
  <si>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</si>
  <si>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</si>
  <si>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</si>
  <si>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</si>
  <si>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</si>
  <si>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</si>
  <si>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</si>
  <si>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</si>
  <si>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</si>
  <si>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</si>
  <si>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</si>
  <si>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</si>
  <si>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</si>
  <si>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</si>
  <si>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</si>
  <si>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</si>
  <si>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</si>
  <si>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</si>
  <si>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</si>
  <si>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</si>
  <si>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</si>
  <si>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</si>
  <si>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</si>
  <si>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</si>
  <si>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</si>
  <si>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</si>
  <si>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</si>
  <si>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</si>
  <si>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</si>
  <si>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</si>
  <si>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</si>
  <si>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</si>
  <si>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</si>
  <si>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</si>
  <si>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</si>
  <si>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</si>
  <si>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</si>
  <si>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</si>
  <si>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</si>
  <si>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</si>
  <si>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</si>
  <si>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</si>
  <si>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</si>
  <si>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</si>
  <si>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</si>
  <si>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</si>
  <si>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</si>
  <si>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</si>
  <si>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</si>
  <si>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</si>
  <si>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</si>
  <si>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</si>
  <si>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</si>
  <si>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</si>
  <si>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</si>
  <si>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</si>
  <si>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</si>
  <si>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</si>
  <si>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</si>
  <si>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</si>
  <si>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</si>
  <si>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</si>
  <si>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</si>
  <si>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</si>
  <si>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</si>
  <si>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</si>
  <si>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</si>
  <si>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</si>
  <si>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</si>
  <si>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</si>
  <si>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</si>
  <si>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</si>
  <si>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</si>
  <si>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</si>
  <si>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</si>
  <si>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</si>
  <si>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</si>
  <si>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</si>
  <si>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</si>
  <si>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</si>
  <si>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</si>
  <si>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</si>
  <si>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</si>
  <si>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</si>
  <si>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</si>
  <si>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</si>
  <si>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</si>
  <si>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</si>
  <si>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</si>
  <si>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</si>
  <si>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</si>
  <si>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</si>
  <si>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</si>
  <si>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</si>
  <si>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</si>
  <si>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</si>
  <si>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</si>
  <si>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</si>
  <si>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</si>
  <si>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</si>
  <si>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</si>
  <si>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</si>
  <si>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</si>
  <si>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</si>
  <si>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</si>
  <si>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</si>
  <si>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</si>
  <si>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</si>
  <si>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</si>
  <si>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</si>
  <si>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</si>
  <si>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</si>
  <si>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</si>
  <si>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</si>
  <si>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</si>
  <si>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</si>
  <si>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</si>
  <si>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</si>
  <si>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</si>
  <si>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</si>
  <si>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</si>
  <si>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</si>
  <si>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</si>
  <si>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</si>
  <si>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</si>
  <si>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</si>
  <si>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</si>
  <si>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</si>
  <si>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</si>
  <si>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</si>
  <si>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</si>
  <si>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</si>
  <si>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</si>
  <si>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</si>
  <si>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</si>
  <si>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</si>
  <si>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</si>
  <si>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</si>
  <si>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</si>
  <si>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</si>
  <si>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</si>
  <si>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</si>
  <si>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</si>
  <si>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</si>
  <si>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</si>
  <si>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</si>
  <si>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</si>
  <si>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</si>
  <si>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</si>
  <si>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</si>
  <si>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</si>
  <si>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</si>
  <si>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</si>
  <si>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</si>
  <si>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</si>
  <si>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</si>
  <si>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</si>
  <si>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</si>
  <si>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</si>
  <si>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</si>
  <si>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</si>
  <si>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</si>
  <si>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</si>
  <si>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</si>
  <si>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</si>
  <si>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</si>
  <si>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</si>
  <si>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</si>
  <si>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</si>
  <si>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</si>
  <si>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</si>
  <si>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</si>
  <si>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</si>
  <si>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</si>
  <si>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</si>
  <si>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</si>
  <si>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</si>
  <si>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</si>
  <si>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</si>
  <si>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</si>
  <si>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</si>
  <si>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</si>
  <si>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</si>
  <si>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</si>
  <si>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</si>
  <si>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</si>
  <si>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</si>
  <si>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</si>
  <si>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</si>
  <si>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</si>
  <si>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</si>
  <si>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</si>
  <si>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</si>
  <si>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</si>
  <si>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</si>
  <si>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</si>
  <si>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</si>
  <si>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</si>
  <si>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</si>
  <si>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</si>
  <si>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</si>
  <si>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</si>
  <si>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</si>
  <si>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</si>
  <si>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</si>
  <si>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</si>
  <si>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</si>
  <si>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</si>
  <si>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</si>
  <si>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</si>
  <si>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</si>
  <si>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</si>
  <si>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</si>
  <si>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</si>
  <si>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</si>
  <si>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</si>
  <si>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</si>
  <si>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</si>
  <si>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</si>
  <si>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</si>
  <si>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</si>
  <si>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</si>
  <si>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</si>
  <si>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</si>
  <si>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</si>
  <si>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</si>
  <si>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</si>
  <si>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</si>
  <si>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</si>
  <si>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</si>
  <si>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</si>
  <si>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</si>
  <si>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</si>
  <si>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</si>
  <si>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</si>
  <si>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</si>
  <si>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</si>
  <si>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</si>
  <si>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</si>
  <si>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</si>
  <si>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</si>
  <si>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</si>
  <si>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</si>
  <si>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</si>
  <si>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</si>
  <si>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</si>
  <si>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</si>
  <si>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</si>
  <si>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</si>
  <si>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</si>
  <si>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</si>
  <si>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</si>
  <si>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</si>
  <si>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</si>
  <si>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</si>
  <si>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</si>
  <si>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</si>
  <si>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</si>
  <si>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</si>
  <si>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</si>
  <si>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</si>
  <si>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</si>
  <si>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</si>
  <si>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</si>
  <si>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</si>
  <si>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</si>
  <si>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</si>
  <si>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</si>
  <si>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</si>
  <si>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</si>
  <si>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</si>
  <si>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</si>
  <si>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</si>
  <si>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</si>
  <si>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</si>
  <si>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</si>
  <si>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</si>
  <si>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</si>
  <si>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</si>
  <si>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</si>
  <si>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</si>
  <si>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</si>
  <si>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</si>
  <si>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</si>
  <si>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</si>
  <si>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</si>
  <si>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</si>
  <si>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</si>
  <si>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</si>
  <si>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</si>
  <si>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</si>
  <si>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Loser</t>
  </si>
  <si>
    <t>Low-beta</t>
  </si>
  <si>
    <t>Total Market</t>
  </si>
  <si>
    <t>LOSER PORTFOLIO</t>
  </si>
  <si>
    <t>LOW-BETA PPORTFOLIO</t>
  </si>
  <si>
    <t>Average residuals</t>
  </si>
  <si>
    <t>average residual</t>
  </si>
  <si>
    <t>Cov(residual, tech)</t>
  </si>
  <si>
    <t>Cov(residual, oil)</t>
  </si>
  <si>
    <t>stock A</t>
  </si>
  <si>
    <t>New</t>
  </si>
  <si>
    <t>Math Fact #8</t>
  </si>
  <si>
    <t>Var(IBM)</t>
  </si>
  <si>
    <t>Fraction Sys</t>
  </si>
  <si>
    <t>Fraction Unsys</t>
  </si>
  <si>
    <t>stock</t>
  </si>
  <si>
    <t>Shares Outstanding($mm)</t>
  </si>
  <si>
    <t>Price</t>
  </si>
  <si>
    <t>Value-weights</t>
  </si>
  <si>
    <t>Var[r]</t>
  </si>
  <si>
    <t>Stdev[r]</t>
  </si>
  <si>
    <t>Cov</t>
  </si>
  <si>
    <t xml:space="preserve">Value-weighted Market </t>
  </si>
  <si>
    <t>Growth</t>
  </si>
  <si>
    <t>Value</t>
  </si>
  <si>
    <t xml:space="preserve"> </t>
  </si>
  <si>
    <t>Tangent Portfolio</t>
  </si>
  <si>
    <t>t-bills</t>
  </si>
  <si>
    <t>Average Returns</t>
  </si>
  <si>
    <t>Stedv[r]</t>
  </si>
  <si>
    <t>Monthly</t>
  </si>
  <si>
    <t>B&amp;B Fund</t>
  </si>
  <si>
    <t>Tangent Weights</t>
  </si>
  <si>
    <t>Benchmark</t>
  </si>
  <si>
    <t>small-large</t>
  </si>
  <si>
    <t>value-growth</t>
  </si>
  <si>
    <t>US market-rf</t>
  </si>
  <si>
    <t>Covariance matrix</t>
  </si>
  <si>
    <t>MKT-RF</t>
  </si>
  <si>
    <t>Active</t>
  </si>
  <si>
    <t>Excess Active</t>
  </si>
  <si>
    <t>Optimal Active Portfolio</t>
  </si>
  <si>
    <t>Excess B&amp;B</t>
  </si>
  <si>
    <t>Multi-factor Alpha</t>
  </si>
  <si>
    <t>Alpha of B&amp;B Relatve to Active Portfolio</t>
  </si>
  <si>
    <t>Tangent Portfolio Weights</t>
  </si>
  <si>
    <t>Amazon-rf</t>
  </si>
  <si>
    <t>rp-rf</t>
  </si>
  <si>
    <t>All stocks</t>
  </si>
  <si>
    <t>Porfolio of 10 Stocks</t>
  </si>
  <si>
    <t>Portfolio of 100 stocks</t>
  </si>
  <si>
    <t>Portfolio of All Stocks</t>
  </si>
  <si>
    <t>Max Residual (All)</t>
  </si>
  <si>
    <t>Min Residual (All)</t>
  </si>
  <si>
    <t>US Market</t>
  </si>
  <si>
    <t>Scale All Risky Weights</t>
  </si>
  <si>
    <t>Small-Large</t>
  </si>
  <si>
    <t>Value-Growth</t>
  </si>
  <si>
    <t>Squared Deviations from Mean</t>
  </si>
  <si>
    <t xml:space="preserve">Revenue </t>
  </si>
  <si>
    <t>Cash from Operating Activities</t>
  </si>
  <si>
    <t>Revenue Growth</t>
  </si>
  <si>
    <t xml:space="preserve">   Net Income</t>
  </si>
  <si>
    <t xml:space="preserve">     + Depreciation</t>
  </si>
  <si>
    <t>Expenses</t>
  </si>
  <si>
    <t>Net Cash flow from Operations</t>
  </si>
  <si>
    <t>Cost of Goods Sold</t>
  </si>
  <si>
    <t>Capital Expenditures</t>
  </si>
  <si>
    <t>Gross Profit</t>
  </si>
  <si>
    <t>Net Interest Expense</t>
  </si>
  <si>
    <t>Gross Profit Margin</t>
  </si>
  <si>
    <t>Effective Tax Rate</t>
  </si>
  <si>
    <t>FCFF</t>
  </si>
  <si>
    <t>Total Operating Expenses</t>
  </si>
  <si>
    <t>EBIT</t>
  </si>
  <si>
    <t>Interest Expense</t>
  </si>
  <si>
    <t>Total Other Income and Expenses</t>
  </si>
  <si>
    <t>Income Before Taxes</t>
  </si>
  <si>
    <t>Income Tax Expense</t>
  </si>
  <si>
    <t>Net Income</t>
  </si>
  <si>
    <t>Summit Strides Trail Running</t>
  </si>
  <si>
    <t>Balance Sheet</t>
  </si>
  <si>
    <t>Income Statemement</t>
  </si>
  <si>
    <t>Cash-Flow Statemement</t>
  </si>
  <si>
    <t>Assets</t>
  </si>
  <si>
    <t>Current Assets</t>
  </si>
  <si>
    <t xml:space="preserve">  Cash</t>
  </si>
  <si>
    <t xml:space="preserve">  Marketable Securities</t>
  </si>
  <si>
    <t xml:space="preserve">  Inventory</t>
  </si>
  <si>
    <t xml:space="preserve">   Subtract Change in Net Operating Working Capital</t>
  </si>
  <si>
    <t xml:space="preserve">  Accounts Receivable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</si>
  <si>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</si>
  <si>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</si>
  <si>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</si>
  <si>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</si>
  <si>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</si>
  <si>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</si>
  <si>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</si>
  <si>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</si>
  <si>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</si>
  <si>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</si>
  <si>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r>
      <t xml:space="preserve">  </t>
    </r>
    <r>
      <rPr>
        <sz val="11"/>
        <color theme="1"/>
        <rFont val="Times New Roman"/>
        <family val="1"/>
      </rPr>
      <t>Utilities Expense</t>
    </r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</si>
  <si>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</si>
  <si>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</si>
  <si>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</si>
  <si>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</si>
  <si>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</si>
  <si>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</si>
  <si>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</si>
  <si>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</si>
  <si>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 xml:space="preserve">   - Total Change in Operating NWC</t>
  </si>
  <si>
    <t>Current Liabilities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</si>
  <si>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</si>
  <si>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</si>
  <si>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</si>
  <si>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</si>
  <si>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</si>
  <si>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</si>
  <si>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</si>
  <si>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</si>
  <si>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</si>
  <si>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 xml:space="preserve">     + Sale of Fixed Assets</t>
  </si>
  <si>
    <t>Long Term Debt</t>
  </si>
  <si>
    <t xml:space="preserve">   - Total Change in Fixed Assets</t>
  </si>
  <si>
    <t>Total Liabilities</t>
  </si>
  <si>
    <t xml:space="preserve">   - Change in Other Investments</t>
  </si>
  <si>
    <t>Stockholders Equity</t>
  </si>
  <si>
    <t xml:space="preserve">     - Purchase of Marketable Securities </t>
  </si>
  <si>
    <t>Total Liabilities and Stockholders Equity</t>
  </si>
  <si>
    <t xml:space="preserve">     + Sale of Marketable Securities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</si>
  <si>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</si>
  <si>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</si>
  <si>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</si>
  <si>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</si>
  <si>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</si>
  <si>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</si>
  <si>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</si>
  <si>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</si>
  <si>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</si>
  <si>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Model for Summit Strides</t>
  </si>
  <si>
    <t xml:space="preserve">     Depreciation</t>
  </si>
  <si>
    <t xml:space="preserve">    Change in NOWC</t>
  </si>
  <si>
    <t>After-Tax Interest Expense</t>
  </si>
  <si>
    <t>Operating Cash Flow</t>
  </si>
  <si>
    <t>DCF1</t>
  </si>
  <si>
    <t>Terminal Value</t>
  </si>
  <si>
    <t>EV/EBITDA</t>
  </si>
  <si>
    <t>Shares (MM)</t>
  </si>
  <si>
    <t>Implied Price</t>
  </si>
  <si>
    <t>Actual Price</t>
  </si>
  <si>
    <t>Net Debt</t>
  </si>
  <si>
    <t>Mcap</t>
  </si>
  <si>
    <t>PV1</t>
  </si>
  <si>
    <t>FCF Margin</t>
  </si>
  <si>
    <t>EBIT Margin</t>
  </si>
  <si>
    <t>Original Revenue Growth</t>
  </si>
  <si>
    <t>Forecasted Revenue Growth</t>
  </si>
  <si>
    <t>Differentiated View</t>
  </si>
  <si>
    <t>Cash flows</t>
  </si>
  <si>
    <t>Period</t>
  </si>
  <si>
    <t>Net Borrowing</t>
  </si>
  <si>
    <t>Int Expense</t>
  </si>
  <si>
    <t>FCFE</t>
  </si>
  <si>
    <t>Debt</t>
  </si>
  <si>
    <t>Enterprise Value</t>
  </si>
  <si>
    <t>Equity Value</t>
  </si>
  <si>
    <t>cost</t>
  </si>
  <si>
    <t>WACC</t>
  </si>
  <si>
    <t>Powder Provisions</t>
  </si>
  <si>
    <t>EV</t>
  </si>
  <si>
    <t>Values</t>
  </si>
  <si>
    <t>Discounted</t>
  </si>
  <si>
    <t>Debt/EV</t>
  </si>
  <si>
    <t>Firm</t>
  </si>
  <si>
    <t>Stock Holders Equity</t>
  </si>
  <si>
    <t>Income Statement</t>
  </si>
  <si>
    <t>Revenue</t>
  </si>
  <si>
    <t>COGS + Operating Expense</t>
  </si>
  <si>
    <t>Tax Expense</t>
  </si>
  <si>
    <t>Cash Flow Statement</t>
  </si>
  <si>
    <t xml:space="preserve"> Depreciation</t>
  </si>
  <si>
    <t>Ratios</t>
  </si>
  <si>
    <t>Net Profit Margin</t>
  </si>
  <si>
    <t>Asset Turnover</t>
  </si>
  <si>
    <t>Leverage</t>
  </si>
  <si>
    <t>ROE</t>
  </si>
  <si>
    <t>PE</t>
  </si>
  <si>
    <t>PB</t>
  </si>
  <si>
    <t>ROA</t>
  </si>
  <si>
    <t>Discount Rates</t>
  </si>
  <si>
    <t>Row</t>
  </si>
  <si>
    <t>Equity (from FCFF)</t>
  </si>
  <si>
    <t>Equity (from FCFE)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</si>
  <si>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</rPr>
      <t>FA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</si>
  <si>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</rPr>
      <t>NOWC</t>
    </r>
  </si>
  <si>
    <t>CFO</t>
  </si>
  <si>
    <t xml:space="preserve"> Cash </t>
  </si>
  <si>
    <t>Panel A.</t>
  </si>
  <si>
    <t>Panel B.</t>
  </si>
  <si>
    <t>Panel C.</t>
  </si>
  <si>
    <t>Panel D.</t>
  </si>
  <si>
    <t>Market Values</t>
  </si>
  <si>
    <t>Panel E.</t>
  </si>
  <si>
    <t>Panel F.</t>
  </si>
  <si>
    <t>Free Cash Flow Yield</t>
  </si>
  <si>
    <t>P1</t>
  </si>
  <si>
    <t>P2</t>
  </si>
  <si>
    <t>Stock A</t>
  </si>
  <si>
    <t>MVE</t>
  </si>
  <si>
    <t>w1</t>
  </si>
  <si>
    <t>w2</t>
  </si>
  <si>
    <t>Vol[r]</t>
  </si>
  <si>
    <t>Multi-Factor Alpha</t>
  </si>
  <si>
    <t>MVE Portfolio</t>
  </si>
  <si>
    <t>P1 &amp;P2 MVE Portfolio</t>
  </si>
  <si>
    <t>Alphas</t>
  </si>
  <si>
    <t>2018-2019</t>
  </si>
  <si>
    <t>Full Sample</t>
  </si>
  <si>
    <t>Factor-MVE Portfolio</t>
  </si>
  <si>
    <t>MVE-rf</t>
  </si>
  <si>
    <t>Market-rf</t>
  </si>
  <si>
    <t>alpha relative to MVE portfolio</t>
  </si>
  <si>
    <t>stock A-rf</t>
  </si>
  <si>
    <t xml:space="preserve">Sharpe </t>
  </si>
  <si>
    <t>Factor MVE</t>
  </si>
  <si>
    <t>Losers</t>
  </si>
  <si>
    <t>Winers</t>
  </si>
  <si>
    <t>vol</t>
  </si>
  <si>
    <t>Point 1:</t>
  </si>
  <si>
    <t>Point 2:</t>
  </si>
  <si>
    <t>Winners</t>
  </si>
  <si>
    <t>Winners-Losers</t>
  </si>
  <si>
    <t>Win-Lose</t>
  </si>
  <si>
    <t>Factor MVE Portfolio</t>
  </si>
  <si>
    <t>MCAP ($M)</t>
  </si>
  <si>
    <t>MKT (total)</t>
  </si>
  <si>
    <t>Alpha relative to Factor-MVE Portfolio</t>
  </si>
  <si>
    <t>Factor-MVE</t>
  </si>
  <si>
    <t>$M</t>
  </si>
  <si>
    <t>Cost of Equity (Non-Cash Assets)</t>
  </si>
  <si>
    <t xml:space="preserve">WACC </t>
  </si>
  <si>
    <t xml:space="preserve">Cost of Debt </t>
  </si>
  <si>
    <t>Return on Cash</t>
  </si>
  <si>
    <t>D/EV</t>
  </si>
  <si>
    <t>(E-C)/EV</t>
  </si>
  <si>
    <t>Cash</t>
  </si>
  <si>
    <t>E-C</t>
  </si>
  <si>
    <r>
      <t>D(1-</t>
    </r>
    <r>
      <rPr>
        <b/>
        <sz val="16"/>
        <color theme="1"/>
        <rFont val="Symbol"/>
        <family val="1"/>
        <charset val="2"/>
      </rPr>
      <t>t</t>
    </r>
    <r>
      <rPr>
        <b/>
        <sz val="16"/>
        <color theme="1"/>
        <rFont val="Times New Roman"/>
        <family val="1"/>
      </rPr>
      <t>)</t>
    </r>
  </si>
  <si>
    <t>return</t>
  </si>
  <si>
    <t>P(t)</t>
  </si>
  <si>
    <t>P(t+1)</t>
  </si>
  <si>
    <t>(including dividends)</t>
  </si>
  <si>
    <t>positions(t)</t>
  </si>
  <si>
    <t>positions(t+1)</t>
  </si>
  <si>
    <t>weights(t)</t>
  </si>
  <si>
    <t>weights(t+1)</t>
  </si>
  <si>
    <t>Level of Index or Equity</t>
  </si>
  <si>
    <t>Index or Portfolio Return</t>
  </si>
  <si>
    <t>In this example we estimate variance from a PDF</t>
  </si>
  <si>
    <t>Forcast</t>
  </si>
  <si>
    <t>Error</t>
  </si>
  <si>
    <t>State</t>
  </si>
  <si>
    <t>E[forecast error]</t>
  </si>
  <si>
    <t>Squared</t>
  </si>
  <si>
    <t>Forecast</t>
  </si>
  <si>
    <r>
      <t>E[(forecast error)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</si>
  <si>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(variance)</t>
  </si>
  <si>
    <t>Vol(Duke)</t>
  </si>
  <si>
    <t>Vol(First-Solar)</t>
  </si>
  <si>
    <t>Correlation without using Excel's correl function:</t>
  </si>
  <si>
    <t>Active Risk</t>
  </si>
  <si>
    <t>Client's Portfolio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</si>
  <si>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</si>
  <si>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</si>
  <si>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</si>
  <si>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</si>
  <si>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</si>
  <si>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</si>
  <si>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</si>
  <si>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</si>
  <si>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</si>
  <si>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</si>
  <si>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</si>
  <si>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</si>
  <si>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</si>
  <si>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</si>
  <si>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</si>
  <si>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</si>
  <si>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</si>
  <si>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</si>
  <si>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</si>
  <si>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</si>
  <si>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</si>
  <si>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</si>
  <si>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</si>
  <si>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</si>
  <si>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</si>
  <si>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</si>
  <si>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</si>
  <si>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</si>
  <si>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</si>
  <si>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</si>
  <si>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</si>
  <si>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</si>
  <si>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</si>
  <si>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</si>
  <si>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</si>
  <si>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</si>
  <si>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Strategy</t>
  </si>
  <si>
    <t>(no leverage)</t>
  </si>
  <si>
    <t>1.2 leverage</t>
  </si>
  <si>
    <t>1.6 leverage</t>
  </si>
  <si>
    <t>2.0 leverage</t>
  </si>
  <si>
    <t>20% leverage</t>
  </si>
  <si>
    <t>60% leverage</t>
  </si>
  <si>
    <t>100% leverage</t>
  </si>
  <si>
    <t>weight in strategy</t>
  </si>
  <si>
    <t>no leverage</t>
  </si>
  <si>
    <t>D</t>
  </si>
  <si>
    <t>E</t>
  </si>
  <si>
    <t>Portfolio1</t>
  </si>
  <si>
    <t>Portfolio2</t>
  </si>
  <si>
    <t>Portfolio3</t>
  </si>
  <si>
    <t>Active Weights, h</t>
  </si>
  <si>
    <t>(1+L)*alpha(no leverage)</t>
  </si>
  <si>
    <t>check</t>
  </si>
  <si>
    <t>benchmark</t>
  </si>
  <si>
    <t>Active risk</t>
  </si>
  <si>
    <t>I-ratio</t>
  </si>
  <si>
    <t>Cov(stock_i,B)</t>
  </si>
  <si>
    <t>stock 4</t>
  </si>
  <si>
    <t>optimal total</t>
  </si>
  <si>
    <t>stock 5</t>
  </si>
  <si>
    <t>stock 6</t>
  </si>
  <si>
    <t>stock 7</t>
  </si>
  <si>
    <t>stock 8</t>
  </si>
  <si>
    <t>stock 9</t>
  </si>
  <si>
    <t>stock 10</t>
  </si>
  <si>
    <t>Variance</t>
  </si>
  <si>
    <t>active weights (h)</t>
  </si>
  <si>
    <t>Zero-Cost (h)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</si>
  <si>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</si>
  <si>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</si>
  <si>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</si>
  <si>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</si>
  <si>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</si>
  <si>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</si>
  <si>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</si>
  <si>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ETF</t>
  </si>
  <si>
    <t>active weights</t>
  </si>
  <si>
    <t>ETF (individual)</t>
  </si>
  <si>
    <t>Total weights</t>
  </si>
  <si>
    <t>betas</t>
  </si>
  <si>
    <t>Portfolio Beta relative to Benchmark</t>
  </si>
  <si>
    <t>Tangent</t>
  </si>
  <si>
    <t>Var(T)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</si>
</sst>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0"/>
    <numFmt numFmtId="167" formatCode="0.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mmmm\ yyyy"/>
    <numFmt numFmtId="174" formatCode="\(0.0\)"/>
    <numFmt numFmtId="175" formatCode="\(0\)"/>
    <numFmt numFmtId="176" formatCode="yyyymm"/>
    <numFmt numFmtId="177" formatCode="yyyy\-mm"/>
  </numFmts>
  <fonts count="37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vertAlign val="subscript"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Symbol"/>
      <family val="1"/>
      <charset val="2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9" fillId="0" borderId="0"/>
    <xf numFmtId="43" fontId="3" fillId="0" borderId="0" applyFont="0" applyFill="0" applyBorder="0" applyAlignment="0" applyProtection="0"/>
  </cellStyleXfs>
  <cellXfs count="215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165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5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7" fontId="0" fillId="0" borderId="0" xfId="0" applyNumberFormat="1"/>
    <xf numFmtId="10" fontId="0" fillId="0" borderId="0" xfId="1" applyNumberFormat="1" applyFont="1" applyAlignment="1">
      <alignment horizontal="center"/>
    </xf>
    <xf numFmtId="0" fontId="6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8" fillId="0" borderId="0" xfId="0" applyFont="1"/>
    <xf numFmtId="168" fontId="0" fillId="0" borderId="0" xfId="0" applyNumberFormat="1"/>
    <xf numFmtId="0" fontId="9" fillId="0" borderId="0" xfId="2"/>
    <xf numFmtId="0" fontId="0" fillId="0" borderId="1" xfId="0" applyBorder="1"/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Continuous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10" fillId="0" borderId="0" xfId="2" applyFont="1"/>
    <xf numFmtId="165" fontId="9" fillId="0" borderId="0" xfId="2" applyNumberFormat="1"/>
    <xf numFmtId="14" fontId="9" fillId="0" borderId="0" xfId="2" applyNumberFormat="1"/>
    <xf numFmtId="0" fontId="5" fillId="0" borderId="0" xfId="2" applyFont="1" applyAlignment="1">
      <alignment horizontal="center"/>
    </xf>
    <xf numFmtId="168" fontId="9" fillId="0" borderId="0" xfId="2" applyNumberFormat="1" applyAlignment="1">
      <alignment horizontal="center"/>
    </xf>
    <xf numFmtId="0" fontId="14" fillId="0" borderId="0" xfId="2" applyFont="1"/>
    <xf numFmtId="0" fontId="15" fillId="0" borderId="0" xfId="2" applyFont="1"/>
    <xf numFmtId="0" fontId="16" fillId="0" borderId="0" xfId="2" applyFont="1"/>
    <xf numFmtId="168" fontId="9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11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9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11" fillId="0" borderId="0" xfId="0" applyNumberFormat="1" applyFont="1" applyAlignment="1">
      <alignment horizontal="center"/>
    </xf>
    <xf numFmtId="0" fontId="10" fillId="0" borderId="0" xfId="0" applyFont="1"/>
    <xf numFmtId="11" fontId="0" fillId="0" borderId="0" xfId="0" applyNumberFormat="1"/>
    <xf numFmtId="165" fontId="9" fillId="0" borderId="0" xfId="2" applyNumberFormat="1" applyAlignment="1">
      <alignment horizontal="center"/>
    </xf>
    <xf numFmtId="2" fontId="9" fillId="0" borderId="0" xfId="2" applyNumberFormat="1" applyAlignment="1">
      <alignment horizontal="center"/>
    </xf>
    <xf numFmtId="0" fontId="17" fillId="2" borderId="0" xfId="0" applyFont="1" applyFill="1"/>
    <xf numFmtId="0" fontId="17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2" fillId="2" borderId="0" xfId="0" applyFont="1" applyFill="1" applyAlignment="1">
      <alignment horizontal="center"/>
    </xf>
    <xf numFmtId="2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43" fontId="0" fillId="0" borderId="0" xfId="3" applyFont="1" applyFill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22" fillId="0" borderId="0" xfId="0" applyFont="1" applyAlignment="1">
      <alignment horizontal="right"/>
    </xf>
    <xf numFmtId="0" fontId="22" fillId="0" borderId="0" xfId="0" applyFont="1"/>
    <xf numFmtId="0" fontId="23" fillId="0" borderId="0" xfId="0" applyFont="1"/>
    <xf numFmtId="171" fontId="22" fillId="0" borderId="0" xfId="0" applyNumberFormat="1" applyFont="1"/>
    <xf numFmtId="171" fontId="22" fillId="0" borderId="0" xfId="0" applyNumberFormat="1" applyFont="1" applyAlignment="1">
      <alignment horizontal="right"/>
    </xf>
    <xf numFmtId="0" fontId="24" fillId="0" borderId="0" xfId="0" applyFont="1"/>
    <xf numFmtId="9" fontId="24" fillId="0" borderId="0" xfId="1" applyFont="1" applyFill="1" applyBorder="1"/>
    <xf numFmtId="0" fontId="25" fillId="0" borderId="0" xfId="0" applyFont="1"/>
    <xf numFmtId="2" fontId="22" fillId="0" borderId="0" xfId="0" applyNumberFormat="1" applyFont="1"/>
    <xf numFmtId="172" fontId="22" fillId="0" borderId="0" xfId="0" applyNumberFormat="1" applyFont="1"/>
    <xf numFmtId="1" fontId="22" fillId="0" borderId="0" xfId="0" applyNumberFormat="1" applyFont="1"/>
    <xf numFmtId="9" fontId="22" fillId="0" borderId="0" xfId="1" applyFont="1"/>
    <xf numFmtId="0" fontId="23" fillId="0" borderId="8" xfId="0" applyFont="1" applyBorder="1"/>
    <xf numFmtId="0" fontId="22" fillId="0" borderId="9" xfId="0" applyFont="1" applyBorder="1" applyAlignment="1">
      <alignment horizontal="right"/>
    </xf>
    <xf numFmtId="0" fontId="22" fillId="0" borderId="8" xfId="0" applyFont="1" applyBorder="1"/>
    <xf numFmtId="0" fontId="25" fillId="3" borderId="12" xfId="0" applyFont="1" applyFill="1" applyBorder="1"/>
    <xf numFmtId="0" fontId="22" fillId="3" borderId="10" xfId="0" applyFont="1" applyFill="1" applyBorder="1"/>
    <xf numFmtId="0" fontId="22" fillId="3" borderId="13" xfId="0" applyFont="1" applyFill="1" applyBorder="1" applyAlignment="1">
      <alignment horizontal="right"/>
    </xf>
    <xf numFmtId="0" fontId="22" fillId="0" borderId="9" xfId="0" applyFont="1" applyBorder="1"/>
    <xf numFmtId="0" fontId="23" fillId="3" borderId="10" xfId="0" applyFont="1" applyFill="1" applyBorder="1"/>
    <xf numFmtId="0" fontId="23" fillId="3" borderId="13" xfId="0" applyFont="1" applyFill="1" applyBorder="1"/>
    <xf numFmtId="0" fontId="22" fillId="0" borderId="13" xfId="0" applyFont="1" applyBorder="1"/>
    <xf numFmtId="0" fontId="22" fillId="0" borderId="6" xfId="0" applyFont="1" applyBorder="1"/>
    <xf numFmtId="0" fontId="23" fillId="0" borderId="9" xfId="0" applyFont="1" applyBorder="1"/>
    <xf numFmtId="0" fontId="22" fillId="0" borderId="6" xfId="0" applyFont="1" applyBorder="1" applyAlignment="1">
      <alignment horizontal="right"/>
    </xf>
    <xf numFmtId="0" fontId="22" fillId="0" borderId="5" xfId="0" applyFont="1" applyBorder="1"/>
    <xf numFmtId="0" fontId="22" fillId="0" borderId="7" xfId="0" applyFont="1" applyBorder="1"/>
    <xf numFmtId="0" fontId="25" fillId="3" borderId="5" xfId="0" applyFont="1" applyFill="1" applyBorder="1"/>
    <xf numFmtId="0" fontId="25" fillId="3" borderId="7" xfId="0" applyFont="1" applyFill="1" applyBorder="1"/>
    <xf numFmtId="0" fontId="25" fillId="3" borderId="6" xfId="0" applyFont="1" applyFill="1" applyBorder="1"/>
    <xf numFmtId="0" fontId="22" fillId="0" borderId="3" xfId="0" applyFont="1" applyBorder="1"/>
    <xf numFmtId="0" fontId="22" fillId="0" borderId="11" xfId="0" applyFont="1" applyBorder="1"/>
    <xf numFmtId="0" fontId="22" fillId="0" borderId="4" xfId="0" applyFont="1" applyBorder="1"/>
    <xf numFmtId="171" fontId="22" fillId="0" borderId="9" xfId="0" applyNumberFormat="1" applyFont="1" applyBorder="1"/>
    <xf numFmtId="174" fontId="22" fillId="0" borderId="6" xfId="0" applyNumberFormat="1" applyFont="1" applyBorder="1"/>
    <xf numFmtId="172" fontId="22" fillId="0" borderId="9" xfId="0" applyNumberFormat="1" applyFont="1" applyBorder="1"/>
    <xf numFmtId="1" fontId="22" fillId="0" borderId="9" xfId="0" applyNumberFormat="1" applyFont="1" applyBorder="1"/>
    <xf numFmtId="0" fontId="23" fillId="3" borderId="7" xfId="0" applyFont="1" applyFill="1" applyBorder="1"/>
    <xf numFmtId="0" fontId="23" fillId="3" borderId="6" xfId="0" applyFont="1" applyFill="1" applyBorder="1"/>
    <xf numFmtId="1" fontId="23" fillId="3" borderId="13" xfId="0" applyNumberFormat="1" applyFont="1" applyFill="1" applyBorder="1"/>
    <xf numFmtId="0" fontId="25" fillId="3" borderId="13" xfId="0" applyFont="1" applyFill="1" applyBorder="1"/>
    <xf numFmtId="1" fontId="22" fillId="0" borderId="4" xfId="0" applyNumberFormat="1" applyFont="1" applyBorder="1"/>
    <xf numFmtId="0" fontId="22" fillId="3" borderId="7" xfId="0" applyFont="1" applyFill="1" applyBorder="1"/>
    <xf numFmtId="0" fontId="22" fillId="0" borderId="12" xfId="0" applyFont="1" applyBorder="1"/>
    <xf numFmtId="0" fontId="22" fillId="0" borderId="10" xfId="0" applyFont="1" applyBorder="1"/>
    <xf numFmtId="173" fontId="23" fillId="0" borderId="0" xfId="0" applyNumberFormat="1" applyFont="1" applyAlignment="1">
      <alignment horizontal="center"/>
    </xf>
    <xf numFmtId="169" fontId="22" fillId="0" borderId="0" xfId="1" applyNumberFormat="1" applyFont="1" applyFill="1" applyBorder="1"/>
    <xf numFmtId="1" fontId="23" fillId="0" borderId="0" xfId="0" applyNumberFormat="1" applyFont="1"/>
    <xf numFmtId="169" fontId="22" fillId="0" borderId="0" xfId="1" applyNumberFormat="1" applyFont="1"/>
    <xf numFmtId="164" fontId="22" fillId="0" borderId="0" xfId="0" applyNumberFormat="1" applyFont="1"/>
    <xf numFmtId="0" fontId="26" fillId="0" borderId="0" xfId="0" applyFont="1"/>
    <xf numFmtId="171" fontId="23" fillId="0" borderId="0" xfId="0" applyNumberFormat="1" applyFont="1"/>
    <xf numFmtId="169" fontId="26" fillId="0" borderId="0" xfId="1" applyNumberFormat="1" applyFont="1"/>
    <xf numFmtId="0" fontId="27" fillId="0" borderId="0" xfId="0" applyFont="1"/>
    <xf numFmtId="0" fontId="28" fillId="0" borderId="0" xfId="0" applyFont="1"/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2" fontId="28" fillId="0" borderId="0" xfId="0" applyNumberFormat="1" applyFont="1" applyAlignment="1">
      <alignment horizontal="right"/>
    </xf>
    <xf numFmtId="2" fontId="28" fillId="0" borderId="0" xfId="0" applyNumberFormat="1" applyFont="1" applyAlignment="1">
      <alignment horizontal="center"/>
    </xf>
    <xf numFmtId="0" fontId="28" fillId="0" borderId="7" xfId="0" applyFont="1" applyBorder="1"/>
    <xf numFmtId="0" fontId="28" fillId="0" borderId="7" xfId="0" applyFont="1" applyBorder="1" applyAlignment="1">
      <alignment horizontal="center"/>
    </xf>
    <xf numFmtId="2" fontId="28" fillId="0" borderId="7" xfId="0" applyNumberFormat="1" applyFont="1" applyBorder="1" applyAlignment="1">
      <alignment horizontal="right"/>
    </xf>
    <xf numFmtId="2" fontId="28" fillId="0" borderId="7" xfId="0" applyNumberFormat="1" applyFont="1" applyBorder="1" applyAlignment="1">
      <alignment horizontal="center"/>
    </xf>
    <xf numFmtId="164" fontId="28" fillId="0" borderId="7" xfId="0" applyNumberFormat="1" applyFont="1" applyBorder="1" applyAlignment="1">
      <alignment horizontal="center"/>
    </xf>
    <xf numFmtId="0" fontId="27" fillId="0" borderId="7" xfId="0" applyFont="1" applyBorder="1"/>
    <xf numFmtId="165" fontId="28" fillId="0" borderId="7" xfId="0" applyNumberFormat="1" applyFont="1" applyBorder="1"/>
    <xf numFmtId="0" fontId="27" fillId="0" borderId="11" xfId="0" applyFont="1" applyBorder="1" applyAlignment="1">
      <alignment horizontal="center"/>
    </xf>
    <xf numFmtId="0" fontId="30" fillId="0" borderId="0" xfId="0" applyFont="1"/>
    <xf numFmtId="0" fontId="30" fillId="0" borderId="0" xfId="0" applyFont="1" applyAlignment="1">
      <alignment horizontal="center"/>
    </xf>
    <xf numFmtId="165" fontId="30" fillId="0" borderId="0" xfId="0" applyNumberFormat="1" applyFont="1"/>
    <xf numFmtId="175" fontId="28" fillId="0" borderId="10" xfId="0" applyNumberFormat="1" applyFont="1" applyBorder="1" applyAlignment="1">
      <alignment horizontal="center"/>
    </xf>
    <xf numFmtId="175" fontId="28" fillId="0" borderId="0" xfId="0" applyNumberFormat="1" applyFont="1" applyAlignment="1">
      <alignment horizontal="center"/>
    </xf>
    <xf numFmtId="164" fontId="28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2" fontId="29" fillId="0" borderId="0" xfId="0" applyNumberFormat="1" applyFont="1" applyAlignment="1">
      <alignment horizontal="center"/>
    </xf>
    <xf numFmtId="2" fontId="28" fillId="0" borderId="7" xfId="0" applyNumberFormat="1" applyFont="1" applyBorder="1"/>
    <xf numFmtId="0" fontId="23" fillId="0" borderId="7" xfId="0" applyFont="1" applyBorder="1"/>
    <xf numFmtId="0" fontId="23" fillId="0" borderId="7" xfId="0" applyFont="1" applyBorder="1" applyAlignment="1">
      <alignment horizontal="center"/>
    </xf>
    <xf numFmtId="0" fontId="31" fillId="0" borderId="0" xfId="0" applyFont="1"/>
    <xf numFmtId="2" fontId="22" fillId="0" borderId="7" xfId="0" applyNumberFormat="1" applyFont="1" applyBorder="1"/>
    <xf numFmtId="0" fontId="22" fillId="0" borderId="0" xfId="0" applyFont="1" applyAlignment="1">
      <alignment horizontal="center"/>
    </xf>
    <xf numFmtId="0" fontId="22" fillId="0" borderId="7" xfId="0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0" fontId="32" fillId="0" borderId="7" xfId="0" applyFont="1" applyBorder="1"/>
    <xf numFmtId="0" fontId="32" fillId="0" borderId="0" xfId="0" applyFont="1"/>
    <xf numFmtId="0" fontId="0" fillId="0" borderId="0" xfId="0" applyAlignment="1">
      <alignment horizontal="centerContinuous"/>
    </xf>
    <xf numFmtId="0" fontId="33" fillId="0" borderId="0" xfId="0" applyFont="1"/>
    <xf numFmtId="164" fontId="0" fillId="0" borderId="1" xfId="0" applyNumberFormat="1" applyBorder="1" applyAlignment="1">
      <alignment horizontal="center"/>
    </xf>
    <xf numFmtId="168" fontId="8" fillId="0" borderId="0" xfId="0" applyNumberFormat="1" applyFont="1"/>
    <xf numFmtId="176" fontId="0" fillId="0" borderId="0" xfId="0" applyNumberFormat="1"/>
    <xf numFmtId="0" fontId="6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8" fillId="0" borderId="7" xfId="0" applyNumberFormat="1" applyFont="1" applyBorder="1" applyAlignment="1">
      <alignment horizontal="center"/>
    </xf>
    <xf numFmtId="168" fontId="11" fillId="0" borderId="7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167" fontId="11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9" fontId="24" fillId="0" borderId="0" xfId="1" applyFont="1"/>
    <xf numFmtId="171" fontId="22" fillId="0" borderId="7" xfId="0" applyNumberFormat="1" applyFont="1" applyBorder="1"/>
    <xf numFmtId="164" fontId="30" fillId="0" borderId="0" xfId="0" applyNumberFormat="1" applyFont="1" applyAlignment="1">
      <alignment horizontal="center"/>
    </xf>
    <xf numFmtId="2" fontId="27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36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6" fontId="0" fillId="0" borderId="0" xfId="0" applyNumberFormat="1"/>
    <xf numFmtId="177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7" fillId="2" borderId="0" xfId="0" applyFont="1" applyFill="1" applyAlignment="1">
      <alignment horizontal="center"/>
    </xf>
    <xf numFmtId="0" fontId="34" fillId="4" borderId="0" xfId="0" applyFont="1" applyFill="1" applyAlignment="1">
      <alignment horizontal="center"/>
    </xf>
    <xf numFmtId="173" fontId="23" fillId="3" borderId="5" xfId="0" applyNumberFormat="1" applyFont="1" applyFill="1" applyBorder="1" applyAlignment="1">
      <alignment horizontal="center"/>
    </xf>
    <xf numFmtId="173" fontId="23" fillId="3" borderId="7" xfId="0" applyNumberFormat="1" applyFont="1" applyFill="1" applyBorder="1" applyAlignment="1">
      <alignment horizontal="center"/>
    </xf>
    <xf numFmtId="173" fontId="23" fillId="3" borderId="6" xfId="0" applyNumberFormat="1" applyFont="1" applyFill="1" applyBorder="1" applyAlignment="1">
      <alignment horizontal="center"/>
    </xf>
    <xf numFmtId="0" fontId="23" fillId="3" borderId="3" xfId="0" applyFont="1" applyFill="1" applyBorder="1" applyAlignment="1">
      <alignment horizontal="center"/>
    </xf>
    <xf numFmtId="0" fontId="23" fillId="3" borderId="11" xfId="0" applyFont="1" applyFill="1" applyBorder="1" applyAlignment="1">
      <alignment horizontal="center"/>
    </xf>
    <xf numFmtId="0" fontId="23" fillId="3" borderId="4" xfId="0" applyFont="1" applyFill="1" applyBorder="1" applyAlignment="1">
      <alignment horizontal="center"/>
    </xf>
    <xf numFmtId="0" fontId="23" fillId="3" borderId="8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23" fillId="3" borderId="9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173" fontId="23" fillId="0" borderId="0" xfId="0" applyNumberFormat="1" applyFont="1" applyAlignment="1">
      <alignment horizontal="left"/>
    </xf>
    <xf numFmtId="173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colors>
    <mruColors>
      <color rgb="FFB8B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0.11758648471300114</c:v>
                </c:pt>
                <c:pt idx="1">
                  <c:v>6.8241816344299377E-3</c:v>
                </c:pt>
                <c:pt idx="2">
                  <c:v>-0.14639169843419994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0.11660580975562986</c:v>
                </c:pt>
                <c:pt idx="9">
                  <c:v>-2.2183409530993251E-2</c:v>
                </c:pt>
                <c:pt idx="10">
                  <c:v>-0.29067029894412966</c:v>
                </c:pt>
                <c:pt idx="11">
                  <c:v>0.15697865505459019</c:v>
                </c:pt>
                <c:pt idx="12">
                  <c:v>0.39658987289078806</c:v>
                </c:pt>
                <c:pt idx="13">
                  <c:v>0.43457290217356404</c:v>
                </c:pt>
                <c:pt idx="14">
                  <c:v>-0.2543411706178097</c:v>
                </c:pt>
                <c:pt idx="15">
                  <c:v>-0.16169873167654833</c:v>
                </c:pt>
                <c:pt idx="16">
                  <c:v>0.36522408280063545</c:v>
                </c:pt>
                <c:pt idx="17">
                  <c:v>-0.22451317044135613</c:v>
                </c:pt>
                <c:pt idx="18">
                  <c:v>0.19295345390770766</c:v>
                </c:pt>
                <c:pt idx="19">
                  <c:v>0.13466734581042794</c:v>
                </c:pt>
                <c:pt idx="20">
                  <c:v>0.10101940135171801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-1.3244494605493692E-2</c:v>
                </c:pt>
                <c:pt idx="28">
                  <c:v>-6.0763892817815301E-2</c:v>
                </c:pt>
                <c:pt idx="29">
                  <c:v>0.20468884606017473</c:v>
                </c:pt>
                <c:pt idx="30">
                  <c:v>0.19045624880502962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-0.30026227034485486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-5.5073361478183036E-2</c:v>
                </c:pt>
                <c:pt idx="40">
                  <c:v>0.49659418804066469</c:v>
                </c:pt>
                <c:pt idx="41">
                  <c:v>0.11878820674942411</c:v>
                </c:pt>
                <c:pt idx="42">
                  <c:v>8.3840690807460705E-2</c:v>
                </c:pt>
                <c:pt idx="43">
                  <c:v>0.19940633873699176</c:v>
                </c:pt>
                <c:pt idx="44">
                  <c:v>0.32458085685750837</c:v>
                </c:pt>
                <c:pt idx="45">
                  <c:v>-0.46380985272980346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2.6926110332607958E-2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-5.8170201073972944E-2</c:v>
                </c:pt>
                <c:pt idx="52">
                  <c:v>-0.19283775090385122</c:v>
                </c:pt>
                <c:pt idx="53">
                  <c:v>0.44183393076288313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-1.8631392842704736E-2</c:v>
                </c:pt>
                <c:pt idx="58">
                  <c:v>0.47176059806956705</c:v>
                </c:pt>
                <c:pt idx="59">
                  <c:v>-0.15767136837190202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0.10369608584221186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3.0552741369460415E-2</c:v>
                </c:pt>
                <c:pt idx="4">
                  <c:v>0.22143952949067405</c:v>
                </c:pt>
                <c:pt idx="5">
                  <c:v>-0.13290754979713368</c:v>
                </c:pt>
                <c:pt idx="6">
                  <c:v>-0.21035423341081486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-0.41991041674049034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-0.18041431075198985</c:v>
                </c:pt>
                <c:pt idx="17">
                  <c:v>0.47018422380794545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0.43628544662321134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0.17079849726900825</c:v>
                </c:pt>
                <c:pt idx="27">
                  <c:v>0.57829022048059697</c:v>
                </c:pt>
                <c:pt idx="28">
                  <c:v>0.25525890322982236</c:v>
                </c:pt>
                <c:pt idx="29">
                  <c:v>1.5718797424863651E-2</c:v>
                </c:pt>
                <c:pt idx="30">
                  <c:v>-0.14595819472329766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0.17510961644641093</c:v>
                </c:pt>
                <c:pt idx="35">
                  <c:v>-0.1447036954752022</c:v>
                </c:pt>
                <c:pt idx="36">
                  <c:v>-0.20498553642793152</c:v>
                </c:pt>
                <c:pt idx="37">
                  <c:v>0.23308217474401027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0.14871202881256287</c:v>
                </c:pt>
                <c:pt idx="41">
                  <c:v>0.18020557737379606</c:v>
                </c:pt>
                <c:pt idx="42">
                  <c:v>0.34484469510901372</c:v>
                </c:pt>
                <c:pt idx="43">
                  <c:v>1.3524310976378656E-2</c:v>
                </c:pt>
                <c:pt idx="44">
                  <c:v>-2.2814109975112074E-2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-0.21393094839989688</c:v>
                </c:pt>
                <c:pt idx="54">
                  <c:v>-0.33543939010509727</c:v>
                </c:pt>
                <c:pt idx="55">
                  <c:v>-0.2589898703205572</c:v>
                </c:pt>
                <c:pt idx="56">
                  <c:v>-4.9110373142876224E-2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E-4607-A926-9A4CABF52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59143336249635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5"/>
          </c:marker>
          <c:trendline>
            <c:spPr>
              <a:ln w="22225"/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4-4775-A0B1-FAB612398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</a:ln>
              <a:effectLst/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9-4394-A5F2-7D1F08CE48A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E9-4394-A5F2-7D1F08CE4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C-47DC-84A9-38FF63415E9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C-47DC-84A9-38FF63415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000000000000002"/>
          <c:min val="-0.15000000000000002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14-4583-A52C-FBD132576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9.2862170250890344E-2</c:v>
                </c:pt>
                <c:pt idx="1">
                  <c:v>6.1810300869813803E-2</c:v>
                </c:pt>
                <c:pt idx="2">
                  <c:v>0.13387398524639182</c:v>
                </c:pt>
                <c:pt idx="3">
                  <c:v>0.2435783574029764</c:v>
                </c:pt>
                <c:pt idx="4">
                  <c:v>0.15355143855707418</c:v>
                </c:pt>
                <c:pt idx="5">
                  <c:v>0.16762834521653086</c:v>
                </c:pt>
                <c:pt idx="6">
                  <c:v>7.7075804826186339E-2</c:v>
                </c:pt>
                <c:pt idx="7">
                  <c:v>0.14767233997352958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-2.859905631866666E-2</c:v>
                </c:pt>
                <c:pt idx="1">
                  <c:v>-5.9809120684566654E-3</c:v>
                </c:pt>
                <c:pt idx="2">
                  <c:v>2.6123626592667287E-2</c:v>
                </c:pt>
                <c:pt idx="3">
                  <c:v>7.0941772904957526E-2</c:v>
                </c:pt>
                <c:pt idx="4">
                  <c:v>2.043061654876829E-2</c:v>
                </c:pt>
                <c:pt idx="5">
                  <c:v>-3.7742111212126644E-3</c:v>
                </c:pt>
                <c:pt idx="6">
                  <c:v>2.1474199630691609E-2</c:v>
                </c:pt>
                <c:pt idx="7">
                  <c:v>-1.0970009071529438E-2</c:v>
                </c:pt>
                <c:pt idx="8">
                  <c:v>3.3449016702967897E-2</c:v>
                </c:pt>
                <c:pt idx="9">
                  <c:v>4.8863435141094522E-2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1-4AA6-8C3C-78F97FB06DED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</a:ln>
          </c:spP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6.5863193265034078E-2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0.11797995471270768</c:v>
                </c:pt>
                <c:pt idx="7">
                  <c:v>0.15025233753975936</c:v>
                </c:pt>
                <c:pt idx="8">
                  <c:v>0.18297259957673523</c:v>
                </c:pt>
                <c:pt idx="9">
                  <c:v>0.21593721252979731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-3.0000000000000256E-2</c:v>
                </c:pt>
                <c:pt idx="1">
                  <c:v>-1.5000000000157396E-2</c:v>
                </c:pt>
                <c:pt idx="2">
                  <c:v>-2.3418766925686896E-17</c:v>
                </c:pt>
                <c:pt idx="3">
                  <c:v>1.5000000001203833E-2</c:v>
                </c:pt>
                <c:pt idx="4">
                  <c:v>2.9999999990555817E-2</c:v>
                </c:pt>
                <c:pt idx="5">
                  <c:v>4.4999999995922191E-2</c:v>
                </c:pt>
                <c:pt idx="6">
                  <c:v>5.9999999998546036E-2</c:v>
                </c:pt>
                <c:pt idx="7">
                  <c:v>7.4999999979401183E-2</c:v>
                </c:pt>
                <c:pt idx="8">
                  <c:v>8.9999999956727389E-2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1-4AA6-8C3C-78F97FB06DED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1-4AA6-8C3C-78F97FB06DED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/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1-4AA6-8C3C-78F97FB06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9.2862170250890344E-2</c:v>
                </c:pt>
                <c:pt idx="1">
                  <c:v>6.1810300869813803E-2</c:v>
                </c:pt>
                <c:pt idx="2">
                  <c:v>0.13387398524639182</c:v>
                </c:pt>
                <c:pt idx="3">
                  <c:v>0.2435783574029764</c:v>
                </c:pt>
                <c:pt idx="4">
                  <c:v>0.15355143855707418</c:v>
                </c:pt>
                <c:pt idx="5">
                  <c:v>0.16762834521653086</c:v>
                </c:pt>
                <c:pt idx="6">
                  <c:v>7.7075804826186339E-2</c:v>
                </c:pt>
                <c:pt idx="7">
                  <c:v>0.14767233997352958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-2.859905631866666E-2</c:v>
                </c:pt>
                <c:pt idx="1">
                  <c:v>-5.9809120684566654E-3</c:v>
                </c:pt>
                <c:pt idx="2">
                  <c:v>2.6123626592667287E-2</c:v>
                </c:pt>
                <c:pt idx="3">
                  <c:v>7.0941772904957526E-2</c:v>
                </c:pt>
                <c:pt idx="4">
                  <c:v>2.043061654876829E-2</c:v>
                </c:pt>
                <c:pt idx="5">
                  <c:v>-3.7742111212126644E-3</c:v>
                </c:pt>
                <c:pt idx="6">
                  <c:v>2.1474199630691609E-2</c:v>
                </c:pt>
                <c:pt idx="7">
                  <c:v>-1.0970009071529438E-2</c:v>
                </c:pt>
                <c:pt idx="8">
                  <c:v>3.3449016702967897E-2</c:v>
                </c:pt>
                <c:pt idx="9">
                  <c:v>4.8863435141094522E-2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1-4643-933A-65DC79A9C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61-48D0-B549-9A186AD28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3D5BE-0808-493C-B6C8-19AB02896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5900D-78A5-416F-A73C-FE3BCDAB2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48</xdr:row>
      <xdr:rowOff>180975</xdr:rowOff>
    </xdr:from>
    <xdr:to>
      <xdr:col>6</xdr:col>
      <xdr:colOff>1657350</xdr:colOff>
      <xdr:row>50</xdr:row>
      <xdr:rowOff>38100</xdr:rowOff>
    </xdr:to>
    <xdr:sp macro="" textlink="">
      <xdr:nvSpPr>
        <xdr:cNvPr id="4097" name="Object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1100-000001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8</xdr:col>
      <xdr:colOff>114300</xdr:colOff>
      <xdr:row>48</xdr:row>
      <xdr:rowOff>180975</xdr:rowOff>
    </xdr:from>
    <xdr:to>
      <xdr:col>9</xdr:col>
      <xdr:colOff>400050</xdr:colOff>
      <xdr:row>50</xdr:row>
      <xdr:rowOff>38100</xdr:rowOff>
    </xdr:to>
    <xdr:sp macro="" textlink="">
      <xdr:nvSpPr>
        <xdr:cNvPr id="4098" name="Object 2" hidden="1">
          <a:extLst>
            <a:ext uri="{63B3BB69-23CF-44E3-9099-C40C66FF867C}">
              <a14:compatExt xmlns:a14="http://schemas.microsoft.com/office/drawing/2010/main" spid="_x0000_s4098"/>
            </a:ext>
            <a:ext uri="{FF2B5EF4-FFF2-40B4-BE49-F238E27FC236}">
              <a16:creationId xmlns:a16="http://schemas.microsoft.com/office/drawing/2014/main" id="{00000000-0008-0000-1100-000002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rian Boyer" id="{0958FFB6-AE01-421E-9910-9D87A63AE3DB}" userId="S::bhb35@byu.edu::d785e22a-42a7-43ee-9ad3-d5b0f8a673c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24" dT="2023-09-26T14:27:42.59" personId="{0958FFB6-AE01-421E-9910-9D87A63AE3DB}" id="{0FA037A2-23C9-4797-A283-D172A8BF8031}">
    <text xml:space="preserve"> At the end of 2023 Summit Strides has $20MM in debt and $10M in cash, implying net debt of $10MM.  See balance sheet.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C3362B1-E6BA-4C4D-A520-118550C60B10}">
  <we:reference id="1e10eb66-9ba2-46e3-84ee-57e2a49831f0" version="3.0.0.1" store="EXCatalog" storeType="EXCatalog"/>
  <we:alternateReferences>
    <we:reference id="WA104100404" version="3.0.0.1" store="en-US" storeType="OMEX"/>
  </we:alternateReferences>
  <we:properties>
    <we:property name="UniqueID" value="&quot;20227161660671066286&quot;"/>
    <we:property name="cFsiGxJZRlZoNlgKLDNfXyEZYgsJXEZWOhlDFzQ=" value="&quot;eFhzSQ==&quot;"/>
    <we:property name="cFsiGxJZRlZoNlgKLDNfXyEZYgsJXEZWOhlECyI=" value="&quot;eUZz&quot;"/>
    <we:property name="cFsiGxJZRlZoNlgKLDNfXyEZYgsJXEZWOhlEDDk=" value="&quot;eA==&quot;"/>
    <we:property name="cFsiGxJZRlZoNlgKLDNfXyEZYgsJXEZWOhlEFzs=" value="&quot;eA==&quot;"/>
    <we:property name="cFsiGxJZRlZoNlgKLDNfXyEZYgsJXEZWOhlEGzQ=" value="&quot;eQ==&quot;"/>
    <we:property name="cFsiGxJZRlZoNlgKLDNfXyEZYgsJXEZWOhlFCzw=" value="&quot;eA==&quot;"/>
    <we:property name="cFsiGxJZRlZoNlgKLDNfXyEZYgsJXEZWOhlFFCA=" value="&quot;eA==&quot;"/>
    <we:property name="cFsiGxJZRlZoNlgKLDNfXyEZYgsJXEZWOhlFGi4=" value="&quot;eQ==&quot;"/>
    <we:property name="cFsiGxJZRlZoNlgKLDNfXyEZYgsJXEZWOhlFHSs=" value="&quot;fQ==&quot;"/>
    <we:property name="cFsiGxJZRlZoNlgKLDNfXyEZYgsJXEZWOhlHCj0=" value="&quot;eFhzSFYAAAI=&quot;"/>
    <we:property name="cFsiGxJZRlZoNlgKLDNfXyEZYgsJXEZWOhlQGSg=" value="&quot;eFhzSFYAAAI=&quot;"/>
    <we:property name="cFsiGxJZRlZoNlgKLDNfXyEZYgsJXEZWOhlRHTk=" value="&quot;eFhzSFYAAAI=&quot;"/>
    <we:property name="cFsiGxJZRlZoNlgKLDNfXyEZYgsJXEZWOhlSFj8=" value="&quot;DyQE&quot;"/>
    <we:property name="cFsiGxJZRlZoNlgKLDNfXyEZYgsJXEZWOhlUDj8=" value="&quot;eFhzSFYB&quot;"/>
    <we:property name="cFsiGxJZRlZoNlgKLDNfXyEZYgsJXEZWOhlWCis=" value="&quot;eQ==&quot;"/>
    <we:property name="cFsiGxJZRlZoNlgKLDNfXyEZYgsJXEZWOhlWGzs=" value="&quot;eFhzSFc=&quot;"/>
    <we:property name="cFsiGxJZRlZoNlgKLDNfXyEZYgsJXEZWOhlZDCo=" value="&quot;eg==&quot;"/>
    <we:property name="cFsiGxJZRlZoNlgKLDNfXyEZYgsJXEZWOhlZHT8=" value="&quot;eQ==&quot;"/>
    <we:property name="cFsiGxJZRlZoNlgKLDNfXyEZYgsJXEZWOhlaCiw=" value="&quot;eFhzT1M=&quot;"/>
    <we:property name="cFsiGxJZRlZoNlgKLDNfXyEZYgsJXEZWOhlaCzQ=" value="&quot;eA==&quot;"/>
    <we:property name="cFsiGxJZRlZoNlgKLDNfXyEZYgsJXEZWOhlaFjE=" value="&quot;e0Y=&quot;"/>
    <we:property name="cFsiGxJZRlZoNlgKLDNfXyEZYgsJXEZWOhlaHSw=" value="&quot;eg==&quot;"/>
    <we:property name="cFsiGxJZRlZoNlgKLDNfXyEZYgsJXEZWOhlbCCg=" value="&quot;eA==&quot;"/>
    <we:property name="cFsiGxJZRlZoNlgKLDNfXyEZYgsJXEZWOhlbCCw=" value="&quot;eA==&quot;"/>
    <we:property name="cFsiGxJZRlZoNlgKLDNfXyEZYgsJXEZWOhleCCs=" value="&quot;eFh6QQ==&quot;"/>
    <we:property name="cFsiGxJZRlZoNlgKLDNfXyEZYgsJXEZWOhleCDE=" value="&quot;eQ==&quot;"/>
    <we:property name="cFsiGxJZRlZoNlgKLDNfXyEZYgsJXEZWOhleCDw=" value="&quot;ew==&quot;"/>
    <we:property name="cFsiGxJZRlZoNlgKLDNfXyEZYjUHSH1aJg==" value="&quot;eQ==&quot;"/>
    <we:property name="cFsiGxJZRlZoNlgKLDNfXyEZYjcEWg==" value="&quot;&quot;"/>
    <we:property name="eUZuIgNCXx4LKUQMeRpSWQ==" value="&quot;bDhnSVM=&quot;"/>
    <we:property name="eUZuIgNCXx4LKUQMeSZfXz4TMScDXlc=" value="&quot;DyQE&quot;"/>
    <we:property name="eUZuIgNCXx4LKUQMeRhRSwUfLQ==" value="&quot;eQ==&quot;"/>
    <we:property name="eUZuIgNCXx4LKUQMeQNRQSEXIRQDQw==" value="&quot;bD9nSVM=&quot;"/>
    <we:property name="eUZuIgNCXx4LKUQMeSZfXz4TMScIVVc=" value="&quot;eQ==&quot;"/>
    <we:property name="eUZuIgNCXx4LKUQMeSZfXz4TMScWQlU=" value="&quot;eFhzSFYAAAI=&quot;"/>
    <we:property name="eUZuIgNCXx4LKUQMeSZfXz4TMScVU1w=" value="&quot;eQ==&quot;"/>
    <we:property name="eUZuIgNCXx4LKUQMeSZfXz4TMScUXEg=" value="&quot;eQ==&quot;"/>
    <we:property name="eUZuIgNCXx4LKUQMeSZfXz4TMScSX1w=" value="&quot;eFhzSFYB&quot;"/>
    <we:property name="eUZuIgNCXx4LKUQMeSZfXz4TMScFRlc=" value="&quot;eFhzSFYB&quot;"/>
    <we:property name="eUZuIgNCXx4LKUQMeSZfXz4TMScLQ1w=" value="&quot;eA==&quot;"/>
    <we:property name="eUZuIgNCXx4LKUQMeSZfXz4TMScVQ0o=" value="&quot;eUZz&quot;"/>
    <we:property name="eUZuIgNCXx4LKUQMeSZfXz4TMScUQ1Q=" value="&quot;eA==&quot;"/>
    <we:property name="eUZuIgNCXx4LKUQMeSZfXz4TMScLQkQ=" value="&quot;eFhzT1M=&quot;"/>
    <we:property name="eUZuIgNCXx4LKUQMeSZfXz4TMScLXlk=" value="&quot;e0Y=&quot;"/>
    <we:property name="eUZuIgNCXx4LKUQMeSZfXz4TMScUUkY=" value="&quot;eQ==&quot;"/>
    <we:property name="eUZuIgNCXx4LKUQMeSZfXz4TMScIREI=" value="&quot;eg==&quot;"/>
    <we:property name="eUZuIgNCXx4LKUQMeSZfXz4TMScHU1M=" value="&quot;eFhzSFc=&quot;"/>
    <we:property name="eUZuIgNCXx4LKUQMeSZfXz4TMScUVUM=" value="&quot;fQ==&quot;"/>
    <we:property name="eUZuIgNCXx4LKUQMeSZfXz4TMScHQkM=" value="&quot;eQ==&quot;"/>
    <we:property name="eUZuIgNCXx4LKUQMeSZfXz4TMScVRFE=" value="&quot;eA==&quot;"/>
    <we:property name="eUZuIgNCXx4LKUQMeSZfXz4TMScLVUQ=" value="&quot;eg==&quot;"/>
    <we:property name="eUZuIgNCXx4LKUQMeSZfXz4TMScVX1M=" value="&quot;eA==&quot;"/>
    <we:property name="eUZuIgNCXx4LKUQMeSZfXz4TMScKQEQ=" value="&quot;eA==&quot;"/>
    <we:property name="eUZuIgNCXx4LKUQMeSZfXz4TMScKQEA=" value="&quot;eA==&quot;"/>
    <we:property name="eUZuIgNCXx4LKUQMeSZfXz4TMScBUUA=" value="&quot;eFhzSFYAAAI=&quot;"/>
    <we:property name="eUZuIgNCXx4LKUQMeSZfXz4TMScPQEM=" value="&quot;eFh6QQ==&quot;"/>
    <we:property name="eUZuIgNCXx4LKUQMeSZfXz4TMScAVVE=" value="&quot;eFhzSFYAAAI=&quot;"/>
    <we:property name="eUZuIgNCXx4LKUQMeSZfXz4TMScPQFk=" value="&quot;eQ==&quot;"/>
    <we:property name="eUZuIgNCXx4LKUQMeSZfXz4TMScPQFQ=" value="&quot;ew==&quot;"/>
  </we:properties>
  <we:bindings>
    <we:binding id="refEdit" type="matrix" appref="{F94696E3-BC0B-40AD-A14F-D03846C3073C}"/>
    <we:binding id="Worker" type="matrix" appref="{AE2A1D5B-2CE9-45CF-8BEB-C313B914242C}"/>
    <we:binding id="Obj" type="matrix" appref="{B216DAFF-3BF8-49BA-A103-D9E7901FA368}"/>
    <we:binding id="Var0" type="matrix" appref="{953A8931-FDC2-4529-A922-EE4266ADAD5C}"/>
  </we:bindings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Relationship Id="rId4" Type="http://schemas.microsoft.com/office/2017/10/relationships/threadedComment" Target="../threadedComments/threadedComment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6C86-4048-4AF0-B501-8DCCD98D27DD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1182</v>
      </c>
      <c r="H4" s="1"/>
    </row>
    <row r="5" spans="3:10">
      <c r="D5" s="1" t="s">
        <v>1180</v>
      </c>
      <c r="E5" s="1" t="s">
        <v>1181</v>
      </c>
      <c r="F5" s="1" t="s">
        <v>1179</v>
      </c>
      <c r="G5" s="1" t="s">
        <v>1185</v>
      </c>
      <c r="H5" s="1" t="s">
        <v>1183</v>
      </c>
      <c r="I5" s="1" t="s">
        <v>1184</v>
      </c>
      <c r="J5" s="1" t="s">
        <v>1186</v>
      </c>
    </row>
    <row r="6" spans="3:10">
      <c r="C6" t="s">
        <v>135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91">
        <f>H6*(1+F6)</f>
        <v>340</v>
      </c>
      <c r="J6" s="6">
        <f>I6/$I$10</f>
        <v>0.34850825913123817</v>
      </c>
    </row>
    <row r="7" spans="3:10">
      <c r="C7" t="s">
        <v>136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91">
        <f>H7*(1+F7)</f>
        <v>282.05128205128204</v>
      </c>
      <c r="J7" s="6">
        <f>I7/$I$10</f>
        <v>0.28910941556890041</v>
      </c>
    </row>
    <row r="8" spans="3:10">
      <c r="C8" t="s">
        <v>137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91">
        <f>H8*(1+F8)</f>
        <v>353.53535353535352</v>
      </c>
      <c r="J8" s="6">
        <f>I8/$I$10</f>
        <v>0.36238232529986142</v>
      </c>
    </row>
    <row r="10" spans="3:10">
      <c r="G10" s="78" t="s">
        <v>1187</v>
      </c>
      <c r="H10" s="2">
        <v>1000</v>
      </c>
      <c r="I10" s="190">
        <f>SUM(I6:I8)</f>
        <v>975.58663558663557</v>
      </c>
    </row>
    <row r="11" spans="3:10">
      <c r="F11" t="s">
        <v>1188</v>
      </c>
      <c r="I11" s="192">
        <f>SUMPRODUCT(G6:G8,F6:F8)</f>
        <v>-2.4413364413364422E-2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L40"/>
  <sheetViews>
    <sheetView workbookViewId="0">
      <selection activeCell="I35" sqref="I35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7" t="s">
        <v>140</v>
      </c>
      <c r="D2" s="197"/>
      <c r="E2" s="197" t="s">
        <v>141</v>
      </c>
      <c r="F2" s="197"/>
    </row>
    <row r="3" spans="1:6">
      <c r="B3" s="51"/>
      <c r="C3" s="52" t="s">
        <v>138</v>
      </c>
      <c r="D3" s="52" t="s">
        <v>180</v>
      </c>
      <c r="E3" s="52" t="s">
        <v>138</v>
      </c>
      <c r="F3" s="52" t="s">
        <v>180</v>
      </c>
    </row>
    <row r="4" spans="1:6">
      <c r="B4" s="4" t="s">
        <v>135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136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137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142</v>
      </c>
    </row>
    <row r="11" spans="1:6">
      <c r="C11" t="s">
        <v>143</v>
      </c>
      <c r="D11" t="s">
        <v>104</v>
      </c>
    </row>
    <row r="12" spans="1:6">
      <c r="B12" t="s">
        <v>135</v>
      </c>
      <c r="C12">
        <f>C4*D4</f>
        <v>30000</v>
      </c>
      <c r="D12">
        <f>C12/$C$16</f>
        <v>0.63829787234042556</v>
      </c>
    </row>
    <row r="13" spans="1:6">
      <c r="B13" t="s">
        <v>136</v>
      </c>
      <c r="C13">
        <f>C5*D5</f>
        <v>10400</v>
      </c>
      <c r="D13">
        <f>C13/$C$16</f>
        <v>0.22127659574468084</v>
      </c>
    </row>
    <row r="14" spans="1:6">
      <c r="B14" t="s">
        <v>137</v>
      </c>
      <c r="C14">
        <f>C6*D6</f>
        <v>6600</v>
      </c>
      <c r="D14">
        <f>C14/$C$16</f>
        <v>0.14042553191489363</v>
      </c>
    </row>
    <row r="16" spans="1:6">
      <c r="B16" t="s">
        <v>55</v>
      </c>
      <c r="C16">
        <f>SUM(C12:C14)</f>
        <v>47000</v>
      </c>
    </row>
    <row r="19" spans="2:12">
      <c r="B19" t="s">
        <v>144</v>
      </c>
    </row>
    <row r="21" spans="2:12">
      <c r="C21" t="s">
        <v>145</v>
      </c>
      <c r="D21" t="s">
        <v>139</v>
      </c>
    </row>
    <row r="22" spans="2:12">
      <c r="B22" t="s">
        <v>135</v>
      </c>
      <c r="C22">
        <f>100000*D12</f>
        <v>63829.787234042553</v>
      </c>
      <c r="D22">
        <f>C22/C4</f>
        <v>1276.5957446808511</v>
      </c>
    </row>
    <row r="23" spans="2:12">
      <c r="B23" t="s">
        <v>136</v>
      </c>
      <c r="C23">
        <f>100000*D13</f>
        <v>22127.659574468085</v>
      </c>
      <c r="D23">
        <f>C23/C5</f>
        <v>1702.127659574468</v>
      </c>
    </row>
    <row r="24" spans="2:12">
      <c r="B24" t="s">
        <v>137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146</v>
      </c>
    </row>
    <row r="29" spans="2:12">
      <c r="B29" t="s">
        <v>135</v>
      </c>
      <c r="C29">
        <f>C22*(E4/C4)</f>
        <v>65106.382978723406</v>
      </c>
    </row>
    <row r="30" spans="2:12">
      <c r="B30" t="s">
        <v>136</v>
      </c>
      <c r="C30">
        <f>C23*(E5/C5)</f>
        <v>18723.40425531915</v>
      </c>
    </row>
    <row r="31" spans="2:12">
      <c r="B31" t="s">
        <v>137</v>
      </c>
      <c r="C31">
        <f>C24*(E6/C6)</f>
        <v>14893.617021276596</v>
      </c>
    </row>
    <row r="33" spans="2:6">
      <c r="B33" t="s">
        <v>147</v>
      </c>
    </row>
    <row r="35" spans="2:6">
      <c r="C35" t="s">
        <v>148</v>
      </c>
      <c r="E35" t="s">
        <v>149</v>
      </c>
      <c r="F35" t="s">
        <v>150</v>
      </c>
    </row>
    <row r="36" spans="2:6">
      <c r="B36" t="s">
        <v>135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136</v>
      </c>
      <c r="C37" s="46">
        <f>C30/SUM($C$29:$C$31)</f>
        <v>0.18965517241379309</v>
      </c>
      <c r="E37">
        <f>F5*E5</f>
        <v>8800</v>
      </c>
      <c r="F37" s="46">
        <f>E37/SUM($E$36:$E$38)</f>
        <v>0.18965517241379309</v>
      </c>
    </row>
    <row r="38" spans="2:6">
      <c r="B38" t="s">
        <v>137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C2:D2"/>
    <mergeCell ref="E2:F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CD56-E749-43B4-BC8C-1EA34BEA6C57}">
  <dimension ref="B1:F12"/>
  <sheetViews>
    <sheetView tabSelected="1"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1189</v>
      </c>
    </row>
    <row r="3" spans="2:6">
      <c r="F3" t="s">
        <v>1194</v>
      </c>
    </row>
    <row r="4" spans="2:6">
      <c r="E4" t="s">
        <v>1190</v>
      </c>
      <c r="F4" t="s">
        <v>1195</v>
      </c>
    </row>
    <row r="5" spans="2:6">
      <c r="B5" t="s">
        <v>1192</v>
      </c>
      <c r="C5" t="s">
        <v>168</v>
      </c>
      <c r="D5" t="s">
        <v>169</v>
      </c>
      <c r="E5" t="s">
        <v>1191</v>
      </c>
      <c r="F5" t="s">
        <v>1191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0</v>
      </c>
      <c r="D9">
        <f>SUMPRODUCT(C6:C7,D6:D7)</f>
        <v>9.6000000000000016E-2</v>
      </c>
    </row>
    <row r="10" spans="2:6">
      <c r="C10" s="78" t="s">
        <v>1193</v>
      </c>
      <c r="D10">
        <f>SUMPRODUCT(D6:D7,E6:E7)</f>
        <v>0</v>
      </c>
    </row>
    <row r="11" spans="2:6" ht="17.25">
      <c r="B11" t="s">
        <v>1196</v>
      </c>
      <c r="D11">
        <f>SUMPRODUCT(D6:D7,F6:F7)</f>
        <v>7.7440000000000009E-3</v>
      </c>
      <c r="E11" t="s">
        <v>1197</v>
      </c>
    </row>
    <row r="12" spans="2:6">
      <c r="C12" t="s">
        <v>129</v>
      </c>
      <c r="D12">
        <f>SQRT(D11)</f>
        <v>8.8000000000000009E-2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F146-C573-48FD-98B0-C6BF5FC76F5F}">
  <sheetPr codeName="Sheet2"/>
  <dimension ref="A1:L65"/>
  <sheetViews>
    <sheetView workbookViewId="0">
      <selection activeCell="G13" sqref="G13"/>
    </sheetView>
  </sheetViews>
  <sheetFormatPr defaultRowHeight="15"/>
  <cols>
    <col min="1" max="1" width="10.7109375" bestFit="1" customWidth="1"/>
    <col min="4" max="4" width="10.28515625" customWidth="1"/>
  </cols>
  <sheetData>
    <row r="1" spans="1:12">
      <c r="J1" t="s">
        <v>6</v>
      </c>
      <c r="L1" t="s">
        <v>6</v>
      </c>
    </row>
    <row r="2" spans="1:12">
      <c r="J2" t="s">
        <v>185</v>
      </c>
      <c r="L2" t="s">
        <v>189</v>
      </c>
    </row>
    <row r="3" spans="1:12">
      <c r="J3" t="s">
        <v>186</v>
      </c>
      <c r="L3" t="s">
        <v>190</v>
      </c>
    </row>
    <row r="5" spans="1:12">
      <c r="A5" s="50"/>
      <c r="B5" t="s">
        <v>182</v>
      </c>
      <c r="C5" t="s">
        <v>183</v>
      </c>
    </row>
    <row r="6" spans="1:12">
      <c r="A6" s="50">
        <v>42766</v>
      </c>
      <c r="B6">
        <v>-2.2283061016255701E-2</v>
      </c>
      <c r="C6">
        <v>-1.9749353226486101E-2</v>
      </c>
      <c r="E6" t="s">
        <v>181</v>
      </c>
      <c r="G6" t="s">
        <v>182</v>
      </c>
      <c r="H6" t="s">
        <v>183</v>
      </c>
      <c r="J6">
        <f>0.6*B6+0.4*C6</f>
        <v>-2.1269577900347864E-2</v>
      </c>
      <c r="L6">
        <f>0.8*C6+0.2*0.001</f>
        <v>-1.5599482581188881E-2</v>
      </c>
    </row>
    <row r="7" spans="1:12">
      <c r="A7" s="50">
        <v>42794</v>
      </c>
      <c r="B7">
        <v>-5.23875942231594E-3</v>
      </c>
      <c r="C7">
        <v>6.6168115089053306E-2</v>
      </c>
      <c r="F7" t="s">
        <v>0</v>
      </c>
      <c r="G7">
        <f>AVERAGE(B6:B65)</f>
        <v>8.9062392509911927E-4</v>
      </c>
      <c r="H7">
        <f>AVERAGE(C6:C65)</f>
        <v>1.2774639464457229E-2</v>
      </c>
      <c r="J7">
        <f t="shared" ref="J7:J65" si="0">0.6*B7+0.4*C7</f>
        <v>2.3323990382231763E-2</v>
      </c>
      <c r="L7">
        <f t="shared" ref="L7:L65" si="1">0.8*C7+0.2*0.001</f>
        <v>5.3134492071242649E-2</v>
      </c>
    </row>
    <row r="8" spans="1:12">
      <c r="A8" s="50">
        <v>42825</v>
      </c>
      <c r="B8">
        <v>7.3075541859776702E-2</v>
      </c>
      <c r="C8">
        <v>-6.4587786811819606E-2</v>
      </c>
      <c r="F8" t="s">
        <v>184</v>
      </c>
      <c r="G8">
        <f>_xlfn.VAR.P(B6:B65)</f>
        <v>1.1492663480011362E-2</v>
      </c>
      <c r="H8">
        <f>_xlfn.VAR.P(C6:C65)</f>
        <v>8.3211034415737045E-3</v>
      </c>
      <c r="J8">
        <f t="shared" si="0"/>
        <v>1.801021039113818E-2</v>
      </c>
      <c r="L8">
        <f t="shared" si="1"/>
        <v>-5.1470229449455687E-2</v>
      </c>
    </row>
    <row r="9" spans="1:12">
      <c r="A9" s="50">
        <v>42853</v>
      </c>
      <c r="B9">
        <v>-6.0991721213169897E-2</v>
      </c>
      <c r="C9">
        <v>-4.6904795767320297E-2</v>
      </c>
      <c r="F9" t="s">
        <v>122</v>
      </c>
      <c r="G9">
        <f>_xlfn.STDEV.P(B6:B65)</f>
        <v>0.10720384078945755</v>
      </c>
      <c r="H9">
        <f>_xlfn.STDEV.P(C6:C65)</f>
        <v>9.1220082446650447E-2</v>
      </c>
      <c r="J9">
        <f t="shared" si="0"/>
        <v>-5.5356951034830057E-2</v>
      </c>
      <c r="L9">
        <f t="shared" si="1"/>
        <v>-3.7323836613856243E-2</v>
      </c>
    </row>
    <row r="10" spans="1:12">
      <c r="A10" s="50">
        <v>42886</v>
      </c>
      <c r="B10">
        <v>-6.0412907072339803E-2</v>
      </c>
      <c r="C10">
        <v>2.9784362459310998E-3</v>
      </c>
      <c r="J10">
        <f t="shared" si="0"/>
        <v>-3.5056369745031436E-2</v>
      </c>
      <c r="L10">
        <f t="shared" si="1"/>
        <v>2.5827489967448799E-3</v>
      </c>
    </row>
    <row r="11" spans="1:12">
      <c r="A11" s="50">
        <v>42916</v>
      </c>
      <c r="B11">
        <v>1.9053257353502499E-2</v>
      </c>
      <c r="C11">
        <v>9.5832279215990995E-2</v>
      </c>
      <c r="J11">
        <f t="shared" si="0"/>
        <v>4.9764866098497902E-2</v>
      </c>
      <c r="L11">
        <f t="shared" si="1"/>
        <v>7.686582337279281E-2</v>
      </c>
    </row>
    <row r="12" spans="1:12">
      <c r="A12" s="50">
        <v>42947</v>
      </c>
      <c r="B12">
        <v>-9.903753765902E-2</v>
      </c>
      <c r="C12">
        <v>3.2111155673498398E-2</v>
      </c>
      <c r="E12" t="s">
        <v>187</v>
      </c>
      <c r="G12" t="s">
        <v>6</v>
      </c>
      <c r="J12">
        <f t="shared" si="0"/>
        <v>-4.6578060326012638E-2</v>
      </c>
      <c r="L12">
        <f t="shared" si="1"/>
        <v>2.5888924538798718E-2</v>
      </c>
    </row>
    <row r="13" spans="1:12">
      <c r="A13" s="50">
        <v>42978</v>
      </c>
      <c r="B13">
        <v>-3.4107207364463099E-2</v>
      </c>
      <c r="C13">
        <v>-3.4052001975803999E-2</v>
      </c>
      <c r="F13" t="s">
        <v>0</v>
      </c>
      <c r="G13">
        <f>AVERAGE(J6:J65)</f>
        <v>5.6442301408423648E-3</v>
      </c>
      <c r="J13">
        <f t="shared" si="0"/>
        <v>-3.4085125208999457E-2</v>
      </c>
      <c r="L13">
        <f t="shared" si="1"/>
        <v>-2.7041601580643202E-2</v>
      </c>
    </row>
    <row r="14" spans="1:12">
      <c r="A14" s="50">
        <v>43007</v>
      </c>
      <c r="B14">
        <v>3.34882714490113E-2</v>
      </c>
      <c r="C14">
        <v>8.0623130322387201E-2</v>
      </c>
      <c r="F14" t="s">
        <v>184</v>
      </c>
      <c r="G14">
        <f>_xlfn.VAR.P(J6:J65)</f>
        <v>8.2438407642997716E-3</v>
      </c>
      <c r="J14">
        <f t="shared" si="0"/>
        <v>5.2342214998361655E-2</v>
      </c>
      <c r="L14">
        <f t="shared" si="1"/>
        <v>6.4698504257909767E-2</v>
      </c>
    </row>
    <row r="15" spans="1:12">
      <c r="A15" s="50">
        <v>43039</v>
      </c>
      <c r="B15">
        <v>-1.8046185395429001E-2</v>
      </c>
      <c r="C15">
        <v>-1.52607519283824E-2</v>
      </c>
      <c r="F15" t="s">
        <v>122</v>
      </c>
      <c r="G15">
        <f>_xlfn.STDEV.P(J6:J65)</f>
        <v>9.0795598815690243E-2</v>
      </c>
      <c r="J15">
        <f t="shared" si="0"/>
        <v>-1.6932012008610359E-2</v>
      </c>
      <c r="L15">
        <f t="shared" si="1"/>
        <v>-1.2008601542705921E-2</v>
      </c>
    </row>
    <row r="16" spans="1:12">
      <c r="A16" s="50">
        <v>43069</v>
      </c>
      <c r="B16">
        <v>6.0414156314234399E-2</v>
      </c>
      <c r="C16">
        <v>7.0278073834865298E-2</v>
      </c>
      <c r="J16">
        <f t="shared" si="0"/>
        <v>6.4359723322486753E-2</v>
      </c>
      <c r="L16">
        <f t="shared" si="1"/>
        <v>5.6422459067892242E-2</v>
      </c>
    </row>
    <row r="17" spans="1:12">
      <c r="A17" s="50">
        <v>43098</v>
      </c>
      <c r="B17">
        <v>2.0850272262534799E-2</v>
      </c>
      <c r="C17">
        <v>2.5832594677953201E-2</v>
      </c>
      <c r="E17" t="s">
        <v>188</v>
      </c>
      <c r="G17">
        <f>0.6*G7+0.4*H7</f>
        <v>5.644230140842363E-3</v>
      </c>
      <c r="J17">
        <f t="shared" si="0"/>
        <v>2.2843201228702162E-2</v>
      </c>
      <c r="L17">
        <f t="shared" si="1"/>
        <v>2.0866075742362562E-2</v>
      </c>
    </row>
    <row r="18" spans="1:12">
      <c r="A18" s="50">
        <v>43131</v>
      </c>
      <c r="B18">
        <v>-4.7562970210412697E-2</v>
      </c>
      <c r="C18">
        <v>6.2955023298113894E-2</v>
      </c>
      <c r="J18">
        <f t="shared" si="0"/>
        <v>-3.3557728070020588E-3</v>
      </c>
      <c r="L18">
        <f t="shared" si="1"/>
        <v>5.0564018638491116E-2</v>
      </c>
    </row>
    <row r="19" spans="1:12">
      <c r="A19" s="50">
        <v>43159</v>
      </c>
      <c r="B19">
        <v>-5.6336001612359E-2</v>
      </c>
      <c r="C19">
        <v>2.1328847720883198E-2</v>
      </c>
      <c r="J19">
        <f t="shared" si="0"/>
        <v>-2.5270061879062118E-2</v>
      </c>
      <c r="L19">
        <f t="shared" si="1"/>
        <v>1.7263078176706557E-2</v>
      </c>
    </row>
    <row r="20" spans="1:12">
      <c r="A20" s="50">
        <v>43188</v>
      </c>
      <c r="B20">
        <v>-5.5090411768944601E-2</v>
      </c>
      <c r="C20">
        <v>-4.0749422540076997E-2</v>
      </c>
      <c r="E20" t="s">
        <v>191</v>
      </c>
      <c r="J20">
        <f t="shared" si="0"/>
        <v>-4.9354016077397561E-2</v>
      </c>
      <c r="L20">
        <f t="shared" si="1"/>
        <v>-3.2399538032061602E-2</v>
      </c>
    </row>
    <row r="21" spans="1:12">
      <c r="A21" s="50">
        <v>43220</v>
      </c>
      <c r="B21">
        <v>-4.0811499096965E-2</v>
      </c>
      <c r="C21">
        <v>3.8308374583710302E-2</v>
      </c>
      <c r="J21">
        <f t="shared" si="0"/>
        <v>-9.1635496246948757E-3</v>
      </c>
      <c r="L21">
        <f t="shared" si="1"/>
        <v>3.0846699666968243E-2</v>
      </c>
    </row>
    <row r="22" spans="1:12">
      <c r="A22" s="50">
        <v>43251</v>
      </c>
      <c r="B22">
        <v>7.5852416309534799E-3</v>
      </c>
      <c r="C22">
        <v>5.2676812553347002E-3</v>
      </c>
      <c r="J22">
        <f t="shared" si="0"/>
        <v>6.6582174807059682E-3</v>
      </c>
      <c r="L22">
        <f t="shared" si="1"/>
        <v>4.4141450042677602E-3</v>
      </c>
    </row>
    <row r="23" spans="1:12">
      <c r="A23" s="50">
        <v>43280</v>
      </c>
      <c r="B23">
        <v>2.4342727940880299E-2</v>
      </c>
      <c r="C23">
        <v>-3.8678913596254902E-2</v>
      </c>
      <c r="E23" t="s">
        <v>192</v>
      </c>
      <c r="G23" t="s">
        <v>6</v>
      </c>
      <c r="J23">
        <f t="shared" si="0"/>
        <v>-8.6592867397378322E-4</v>
      </c>
      <c r="L23">
        <f t="shared" si="1"/>
        <v>-3.0743130877003925E-2</v>
      </c>
    </row>
    <row r="24" spans="1:12">
      <c r="A24" s="50">
        <v>43312</v>
      </c>
      <c r="B24">
        <v>1.9249177547414099E-2</v>
      </c>
      <c r="C24">
        <v>-1.8789152247586299E-2</v>
      </c>
      <c r="F24" t="s">
        <v>0</v>
      </c>
      <c r="G24">
        <f>AVERAGE(L6:L65)</f>
        <v>1.0419711571565788E-2</v>
      </c>
      <c r="J24">
        <f t="shared" si="0"/>
        <v>4.0338456294139397E-3</v>
      </c>
      <c r="L24">
        <f t="shared" si="1"/>
        <v>-1.4831321798069039E-2</v>
      </c>
    </row>
    <row r="25" spans="1:12">
      <c r="A25" s="50">
        <v>43343</v>
      </c>
      <c r="B25">
        <v>-6.2953446647394601E-3</v>
      </c>
      <c r="C25">
        <v>3.6559236734024801E-2</v>
      </c>
      <c r="F25" t="s">
        <v>184</v>
      </c>
      <c r="G25">
        <f>_xlfn.VAR.P(L6:L65)</f>
        <v>5.3255062026071748E-3</v>
      </c>
      <c r="J25">
        <f t="shared" si="0"/>
        <v>1.0846487894766246E-2</v>
      </c>
      <c r="L25">
        <f t="shared" si="1"/>
        <v>2.944738938721984E-2</v>
      </c>
    </row>
    <row r="26" spans="1:12">
      <c r="A26" s="50">
        <v>43371</v>
      </c>
      <c r="B26">
        <v>7.1839489677017004E-2</v>
      </c>
      <c r="C26">
        <v>-5.89228494058157E-2</v>
      </c>
      <c r="F26" t="s">
        <v>122</v>
      </c>
      <c r="G26">
        <f>_xlfn.STDEV.P(L6:L65)</f>
        <v>7.2976065957320382E-2</v>
      </c>
      <c r="J26">
        <f t="shared" si="0"/>
        <v>1.953455404388392E-2</v>
      </c>
      <c r="L26">
        <f t="shared" si="1"/>
        <v>-4.6938279524652564E-2</v>
      </c>
    </row>
    <row r="27" spans="1:12">
      <c r="A27" s="50">
        <v>43404</v>
      </c>
      <c r="B27">
        <v>-0.15629128245343099</v>
      </c>
      <c r="C27">
        <v>-6.1814769015926301E-2</v>
      </c>
      <c r="J27">
        <f t="shared" si="0"/>
        <v>-0.11850067707842912</v>
      </c>
      <c r="L27">
        <f t="shared" si="1"/>
        <v>-4.9251815212741044E-2</v>
      </c>
    </row>
    <row r="28" spans="1:12">
      <c r="A28" s="50">
        <v>43434</v>
      </c>
      <c r="B28">
        <v>0.106488793553875</v>
      </c>
      <c r="C28">
        <v>4.0533039728559497E-2</v>
      </c>
      <c r="E28" t="s">
        <v>193</v>
      </c>
      <c r="G28" t="s">
        <v>6</v>
      </c>
      <c r="J28">
        <f t="shared" si="0"/>
        <v>8.0106492023748796E-2</v>
      </c>
      <c r="L28">
        <f t="shared" si="1"/>
        <v>3.2626431782847597E-2</v>
      </c>
    </row>
    <row r="29" spans="1:12">
      <c r="A29" s="50">
        <v>43465</v>
      </c>
      <c r="B29">
        <v>-0.18481642864502901</v>
      </c>
      <c r="C29">
        <v>-0.16276186177483801</v>
      </c>
      <c r="F29" t="s">
        <v>0</v>
      </c>
      <c r="G29">
        <f>0.8*H7+0.2*0.001</f>
        <v>1.0419711571565784E-2</v>
      </c>
      <c r="J29">
        <f t="shared" si="0"/>
        <v>-0.1759946018969526</v>
      </c>
      <c r="L29">
        <f t="shared" si="1"/>
        <v>-0.13000948941987039</v>
      </c>
    </row>
    <row r="30" spans="1:12">
      <c r="A30" s="50">
        <v>43496</v>
      </c>
      <c r="B30">
        <v>8.0304994932751797E-2</v>
      </c>
      <c r="C30">
        <v>0.168139191610234</v>
      </c>
      <c r="F30" t="s">
        <v>184</v>
      </c>
      <c r="G30">
        <f>0.8^2*H8</f>
        <v>5.3255062026071722E-3</v>
      </c>
      <c r="J30">
        <f t="shared" si="0"/>
        <v>0.11543867360374468</v>
      </c>
      <c r="L30">
        <f t="shared" si="1"/>
        <v>0.1347113532881872</v>
      </c>
    </row>
    <row r="31" spans="1:12">
      <c r="A31" s="50">
        <v>43524</v>
      </c>
      <c r="B31">
        <v>7.0537925646664296E-3</v>
      </c>
      <c r="C31">
        <v>8.0250656644750298E-2</v>
      </c>
      <c r="F31" t="s">
        <v>122</v>
      </c>
      <c r="G31">
        <f>0.8*H9</f>
        <v>7.2976065957320355E-2</v>
      </c>
      <c r="J31">
        <f t="shared" si="0"/>
        <v>3.633253819669998E-2</v>
      </c>
      <c r="L31">
        <f t="shared" si="1"/>
        <v>6.4400525315800247E-2</v>
      </c>
    </row>
    <row r="32" spans="1:12">
      <c r="A32" s="50">
        <v>43553</v>
      </c>
      <c r="B32">
        <v>-2.94443717965596E-2</v>
      </c>
      <c r="C32">
        <v>-0.111350218402999</v>
      </c>
      <c r="J32">
        <f t="shared" si="0"/>
        <v>-6.2206710439135365E-2</v>
      </c>
      <c r="L32">
        <f t="shared" si="1"/>
        <v>-8.8880174722399202E-2</v>
      </c>
    </row>
    <row r="33" spans="1:12">
      <c r="A33" s="50">
        <v>43585</v>
      </c>
      <c r="B33">
        <v>4.4026733186696997E-2</v>
      </c>
      <c r="C33">
        <v>8.6324510721870695E-2</v>
      </c>
      <c r="J33">
        <f t="shared" si="0"/>
        <v>6.0945844200766472E-2</v>
      </c>
      <c r="L33">
        <f t="shared" si="1"/>
        <v>6.9259608577496565E-2</v>
      </c>
    </row>
    <row r="34" spans="1:12">
      <c r="A34" s="50">
        <v>43616</v>
      </c>
      <c r="B34">
        <v>-0.11131104664343699</v>
      </c>
      <c r="C34">
        <v>-0.121223659141159</v>
      </c>
      <c r="J34">
        <f t="shared" si="0"/>
        <v>-0.11527609164252579</v>
      </c>
      <c r="L34">
        <f t="shared" si="1"/>
        <v>-9.6778927312927199E-2</v>
      </c>
    </row>
    <row r="35" spans="1:12">
      <c r="A35" s="50">
        <v>43644</v>
      </c>
      <c r="B35">
        <v>9.5048842891917104E-2</v>
      </c>
      <c r="C35">
        <v>6.7564461590015196E-2</v>
      </c>
      <c r="J35">
        <f t="shared" si="0"/>
        <v>8.4055090371156341E-2</v>
      </c>
      <c r="L35">
        <f t="shared" si="1"/>
        <v>5.4251569272012155E-2</v>
      </c>
    </row>
    <row r="36" spans="1:12">
      <c r="A36" s="50">
        <v>43677</v>
      </c>
      <c r="B36">
        <v>-1.39555351561323E-3</v>
      </c>
      <c r="C36">
        <v>-1.9791096570017701E-2</v>
      </c>
      <c r="J36">
        <f t="shared" si="0"/>
        <v>-8.7537707373750179E-3</v>
      </c>
      <c r="L36">
        <f t="shared" si="1"/>
        <v>-1.5632877256014161E-2</v>
      </c>
    </row>
    <row r="37" spans="1:12">
      <c r="A37" s="50">
        <v>43707</v>
      </c>
      <c r="B37">
        <v>-0.108440350982071</v>
      </c>
      <c r="C37">
        <v>-8.0728296541766401E-2</v>
      </c>
      <c r="J37">
        <f t="shared" si="0"/>
        <v>-9.7355529205949157E-2</v>
      </c>
      <c r="L37">
        <f t="shared" si="1"/>
        <v>-6.4382637233413115E-2</v>
      </c>
    </row>
    <row r="38" spans="1:12">
      <c r="A38" s="50">
        <v>43738</v>
      </c>
      <c r="B38">
        <v>0.13923958750311599</v>
      </c>
      <c r="C38">
        <v>8.3475321172363795E-2</v>
      </c>
      <c r="J38">
        <f t="shared" si="0"/>
        <v>0.11693388097081511</v>
      </c>
      <c r="L38">
        <f t="shared" si="1"/>
        <v>6.6980256937891045E-2</v>
      </c>
    </row>
    <row r="39" spans="1:12">
      <c r="A39" s="50">
        <v>43769</v>
      </c>
      <c r="B39">
        <v>8.1734767378134607E-2</v>
      </c>
      <c r="C39">
        <v>8.8724156457291301E-2</v>
      </c>
      <c r="J39">
        <f t="shared" si="0"/>
        <v>8.4530523009797284E-2</v>
      </c>
      <c r="L39">
        <f t="shared" si="1"/>
        <v>7.1179325165833043E-2</v>
      </c>
    </row>
    <row r="40" spans="1:12">
      <c r="A40" s="50">
        <v>43798</v>
      </c>
      <c r="B40">
        <v>-6.5021875638330798E-2</v>
      </c>
      <c r="C40">
        <v>3.3958152523500901E-2</v>
      </c>
      <c r="J40">
        <f t="shared" si="0"/>
        <v>-2.5429864373598114E-2</v>
      </c>
      <c r="L40">
        <f t="shared" si="1"/>
        <v>2.7366522018800722E-2</v>
      </c>
    </row>
    <row r="41" spans="1:12">
      <c r="A41" s="50">
        <v>43830</v>
      </c>
      <c r="B41">
        <v>3.2386482556854099E-2</v>
      </c>
      <c r="C41">
        <v>4.2989196243196998E-2</v>
      </c>
      <c r="J41">
        <f t="shared" si="0"/>
        <v>3.6627568031391264E-2</v>
      </c>
      <c r="L41">
        <f t="shared" si="1"/>
        <v>3.45913569945576E-2</v>
      </c>
    </row>
    <row r="42" spans="1:12">
      <c r="A42" s="50">
        <v>43861</v>
      </c>
      <c r="B42">
        <v>-0.10190900120879</v>
      </c>
      <c r="C42">
        <v>-0.123844331895321</v>
      </c>
      <c r="J42">
        <f t="shared" si="0"/>
        <v>-0.11068313348340239</v>
      </c>
      <c r="L42">
        <f t="shared" si="1"/>
        <v>-9.8875465516256797E-2</v>
      </c>
    </row>
    <row r="43" spans="1:12">
      <c r="A43" s="50">
        <v>43889</v>
      </c>
      <c r="B43">
        <v>-8.7724764622579998E-2</v>
      </c>
      <c r="C43">
        <v>-0.11528537825349799</v>
      </c>
      <c r="J43">
        <f t="shared" si="0"/>
        <v>-9.8749010074947199E-2</v>
      </c>
      <c r="L43">
        <f t="shared" si="1"/>
        <v>-9.2028302602798401E-2</v>
      </c>
    </row>
    <row r="44" spans="1:12">
      <c r="A44" s="50">
        <v>43921</v>
      </c>
      <c r="B44">
        <v>-0.37055568133677202</v>
      </c>
      <c r="C44">
        <v>-0.33016268889774503</v>
      </c>
      <c r="J44">
        <f t="shared" si="0"/>
        <v>-0.35439848436116123</v>
      </c>
      <c r="L44">
        <f t="shared" si="1"/>
        <v>-0.26393015111819607</v>
      </c>
    </row>
    <row r="45" spans="1:12">
      <c r="A45" s="50">
        <v>43951</v>
      </c>
      <c r="B45">
        <v>0.15319584643728301</v>
      </c>
      <c r="C45">
        <v>0.181240532394468</v>
      </c>
      <c r="J45">
        <f t="shared" si="0"/>
        <v>0.16441372082015701</v>
      </c>
      <c r="L45">
        <f t="shared" si="1"/>
        <v>0.14519242591557441</v>
      </c>
    </row>
    <row r="46" spans="1:12">
      <c r="A46" s="50">
        <v>43980</v>
      </c>
      <c r="B46">
        <v>-2.1586094620103101E-2</v>
      </c>
      <c r="C46">
        <v>5.3109331228838E-2</v>
      </c>
      <c r="J46">
        <f t="shared" si="0"/>
        <v>8.2920757194733432E-3</v>
      </c>
      <c r="L46">
        <f t="shared" si="1"/>
        <v>4.2687464983070404E-2</v>
      </c>
    </row>
    <row r="47" spans="1:12">
      <c r="A47" s="50">
        <v>44012</v>
      </c>
      <c r="B47">
        <v>0.113870710301093</v>
      </c>
      <c r="C47">
        <v>3.3120817540530999E-2</v>
      </c>
      <c r="J47">
        <f t="shared" si="0"/>
        <v>8.1570753196868198E-2</v>
      </c>
      <c r="L47">
        <f t="shared" si="1"/>
        <v>2.6696654032424799E-2</v>
      </c>
    </row>
    <row r="48" spans="1:12">
      <c r="A48" s="50">
        <v>44043</v>
      </c>
      <c r="B48">
        <v>9.50778232243122E-2</v>
      </c>
      <c r="C48">
        <v>-4.5000083785727403E-2</v>
      </c>
      <c r="J48">
        <f t="shared" si="0"/>
        <v>3.9046660420296357E-2</v>
      </c>
      <c r="L48">
        <f t="shared" si="1"/>
        <v>-3.5800067028581926E-2</v>
      </c>
    </row>
    <row r="49" spans="1:12">
      <c r="A49" s="50">
        <v>44074</v>
      </c>
      <c r="B49">
        <v>6.4540935681228206E-2</v>
      </c>
      <c r="C49" s="66">
        <v>6.0554695737501502E-5</v>
      </c>
      <c r="J49">
        <f t="shared" si="0"/>
        <v>3.8748783287031928E-2</v>
      </c>
      <c r="L49">
        <f t="shared" si="1"/>
        <v>2.484437565900012E-4</v>
      </c>
    </row>
    <row r="50" spans="1:12">
      <c r="A50" s="50">
        <v>44104</v>
      </c>
      <c r="B50">
        <v>-0.11376753101130301</v>
      </c>
      <c r="C50">
        <v>-9.1418005103095903E-2</v>
      </c>
      <c r="J50">
        <f t="shared" si="0"/>
        <v>-0.10482772064802015</v>
      </c>
      <c r="L50">
        <f t="shared" si="1"/>
        <v>-7.2934404082476714E-2</v>
      </c>
    </row>
    <row r="51" spans="1:12">
      <c r="A51" s="50">
        <v>44134</v>
      </c>
      <c r="B51">
        <v>0.33985358224110102</v>
      </c>
      <c r="C51">
        <v>0.10438064139752699</v>
      </c>
      <c r="J51">
        <f t="shared" si="0"/>
        <v>0.24566440590367139</v>
      </c>
      <c r="L51">
        <f t="shared" si="1"/>
        <v>8.3704513118021601E-2</v>
      </c>
    </row>
    <row r="52" spans="1:12">
      <c r="A52" s="50">
        <v>44165</v>
      </c>
      <c r="B52">
        <v>0.22536488488322301</v>
      </c>
      <c r="C52">
        <v>0.20620915044667801</v>
      </c>
      <c r="J52">
        <f t="shared" si="0"/>
        <v>0.21770259110860501</v>
      </c>
      <c r="L52">
        <f t="shared" si="1"/>
        <v>0.16516732035734241</v>
      </c>
    </row>
    <row r="53" spans="1:12">
      <c r="A53" s="50">
        <v>44196</v>
      </c>
      <c r="B53">
        <v>-8.86449024635758E-2</v>
      </c>
      <c r="C53">
        <v>0.125680185061226</v>
      </c>
      <c r="J53">
        <f t="shared" si="0"/>
        <v>-2.9148674536550734E-3</v>
      </c>
      <c r="L53">
        <f t="shared" si="1"/>
        <v>0.10074414804898081</v>
      </c>
    </row>
    <row r="54" spans="1:12">
      <c r="A54" s="50">
        <v>44225</v>
      </c>
      <c r="B54">
        <v>9.2370584747038298E-2</v>
      </c>
      <c r="C54">
        <v>1.6114213648707802E-2</v>
      </c>
      <c r="J54">
        <f t="shared" si="0"/>
        <v>6.1868036307706098E-2</v>
      </c>
      <c r="L54">
        <f t="shared" si="1"/>
        <v>1.3091370918966243E-2</v>
      </c>
    </row>
    <row r="55" spans="1:12">
      <c r="A55" s="50">
        <v>44253</v>
      </c>
      <c r="B55">
        <v>-0.110252126142403</v>
      </c>
      <c r="C55">
        <v>0.21261324562463099</v>
      </c>
      <c r="J55">
        <f t="shared" si="0"/>
        <v>1.8894022564410612E-2</v>
      </c>
      <c r="L55">
        <f t="shared" si="1"/>
        <v>0.17029059649970482</v>
      </c>
    </row>
    <row r="56" spans="1:12">
      <c r="A56" s="50">
        <v>44286</v>
      </c>
      <c r="B56">
        <v>0.12894163479735499</v>
      </c>
      <c r="C56">
        <v>3.3665508335924903E-2</v>
      </c>
      <c r="J56">
        <f t="shared" si="0"/>
        <v>9.0831184212782953E-2</v>
      </c>
      <c r="L56">
        <f t="shared" si="1"/>
        <v>2.7132406668739922E-2</v>
      </c>
    </row>
    <row r="57" spans="1:12">
      <c r="A57" s="50">
        <v>44316</v>
      </c>
      <c r="B57">
        <v>0.20623447240371001</v>
      </c>
      <c r="C57">
        <v>1.52839020783787E-2</v>
      </c>
      <c r="J57">
        <f t="shared" si="0"/>
        <v>0.12985424427357747</v>
      </c>
      <c r="L57">
        <f t="shared" si="1"/>
        <v>1.2427121662702961E-2</v>
      </c>
    </row>
    <row r="58" spans="1:12">
      <c r="A58" s="50">
        <v>44344</v>
      </c>
      <c r="B58">
        <v>2.0673813353179501E-3</v>
      </c>
      <c r="C58">
        <v>4.3335615555408297E-2</v>
      </c>
      <c r="J58">
        <f t="shared" si="0"/>
        <v>1.8574675023354088E-2</v>
      </c>
      <c r="L58">
        <f t="shared" si="1"/>
        <v>3.4868492444326639E-2</v>
      </c>
    </row>
    <row r="59" spans="1:12">
      <c r="A59" s="50">
        <v>44377</v>
      </c>
      <c r="B59">
        <v>-5.1708980854238099E-2</v>
      </c>
      <c r="C59">
        <v>-8.6731106695313503E-2</v>
      </c>
      <c r="J59">
        <f t="shared" si="0"/>
        <v>-6.5717831190668263E-2</v>
      </c>
      <c r="L59">
        <f t="shared" si="1"/>
        <v>-6.9184885356250794E-2</v>
      </c>
    </row>
    <row r="60" spans="1:12">
      <c r="A60" s="50">
        <v>44407</v>
      </c>
      <c r="B60">
        <v>-0.13531211929046899</v>
      </c>
      <c r="C60">
        <v>-1.3431774050327E-2</v>
      </c>
      <c r="J60">
        <f t="shared" si="0"/>
        <v>-8.6559981194412189E-2</v>
      </c>
      <c r="L60">
        <f t="shared" si="1"/>
        <v>-1.0545419240261601E-2</v>
      </c>
    </row>
    <row r="61" spans="1:12">
      <c r="A61" s="50">
        <v>44439</v>
      </c>
      <c r="B61">
        <v>-2.2715771193831899E-3</v>
      </c>
      <c r="C61">
        <v>0.11793820506451</v>
      </c>
      <c r="J61">
        <f t="shared" si="0"/>
        <v>4.5812335754174087E-2</v>
      </c>
      <c r="L61">
        <f t="shared" si="1"/>
        <v>9.4550564051608013E-2</v>
      </c>
    </row>
    <row r="62" spans="1:12">
      <c r="A62" s="50">
        <v>44469</v>
      </c>
      <c r="B62">
        <v>-7.0108282739453104E-2</v>
      </c>
      <c r="C62">
        <v>6.8911886916626905E-2</v>
      </c>
      <c r="J62">
        <f t="shared" si="0"/>
        <v>-1.4500214877021095E-2</v>
      </c>
      <c r="L62">
        <f t="shared" si="1"/>
        <v>5.5329509533301527E-2</v>
      </c>
    </row>
    <row r="63" spans="1:12">
      <c r="A63" s="50">
        <v>44498</v>
      </c>
      <c r="B63">
        <v>-3.2777874662604498E-3</v>
      </c>
      <c r="C63">
        <v>1.7773475449054801E-2</v>
      </c>
      <c r="J63">
        <f t="shared" si="0"/>
        <v>5.1427176998656513E-3</v>
      </c>
      <c r="L63">
        <f t="shared" si="1"/>
        <v>1.4418780359243842E-2</v>
      </c>
    </row>
    <row r="64" spans="1:12">
      <c r="A64" s="50">
        <v>44530</v>
      </c>
      <c r="B64">
        <v>3.83666113709131E-3</v>
      </c>
      <c r="C64">
        <v>7.2851325694815302E-3</v>
      </c>
      <c r="J64">
        <f t="shared" si="0"/>
        <v>5.216049710047398E-3</v>
      </c>
      <c r="L64">
        <f t="shared" si="1"/>
        <v>6.028106055585224E-3</v>
      </c>
    </row>
    <row r="65" spans="1:12">
      <c r="A65" s="50">
        <v>44560</v>
      </c>
      <c r="B65">
        <v>3.19541527600741E-2</v>
      </c>
      <c r="C65">
        <v>7.9263214345583503E-4</v>
      </c>
      <c r="J65">
        <f t="shared" si="0"/>
        <v>1.9489544513426792E-2</v>
      </c>
      <c r="L65">
        <f t="shared" si="1"/>
        <v>8.3410571476466805E-4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"/>
  <dimension ref="A2:H24"/>
  <sheetViews>
    <sheetView workbookViewId="0">
      <selection activeCell="J18" sqref="J18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7" t="s">
        <v>194</v>
      </c>
      <c r="F2" s="197"/>
      <c r="H2" t="s">
        <v>2</v>
      </c>
    </row>
    <row r="3" spans="1:8">
      <c r="B3" t="s">
        <v>196</v>
      </c>
      <c r="C3" t="s">
        <v>195</v>
      </c>
      <c r="E3" t="s">
        <v>3</v>
      </c>
      <c r="F3" t="s">
        <v>261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>B4-$B$17</f>
        <v>1.0365690878234805E-2</v>
      </c>
      <c r="F4" s="2">
        <f>C4-$C$17</f>
        <v>3.5865547599501692E-3</v>
      </c>
      <c r="G4" s="2"/>
      <c r="H4" s="2">
        <f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ref="E5:E15" si="0">B5-$B$17</f>
        <v>-9.6276588828852303E-2</v>
      </c>
      <c r="F5" s="2">
        <f t="shared" ref="F5:F15" si="1">C5-$C$17</f>
        <v>-0.18159289807294288</v>
      </c>
      <c r="G5" s="2"/>
      <c r="H5" s="2">
        <f t="shared" ref="H5:H15" si="2">E5*F5</f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0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199</v>
      </c>
      <c r="H18" s="18">
        <f>AVERAGE(H4:H15)</f>
        <v>1.4664290054495568E-3</v>
      </c>
    </row>
    <row r="19" spans="1:8">
      <c r="D19" t="s">
        <v>197</v>
      </c>
      <c r="H19">
        <f>_xlfn.COVARIANCE.P(B4:B15,C4:C15)</f>
        <v>1.4664290054495568E-3</v>
      </c>
    </row>
    <row r="21" spans="1:8">
      <c r="D21" t="s">
        <v>1200</v>
      </c>
      <c r="H21">
        <f>H19/(H23*H24)</f>
        <v>0.19096668798888022</v>
      </c>
    </row>
    <row r="22" spans="1:8">
      <c r="D22" t="s">
        <v>198</v>
      </c>
      <c r="H22">
        <f>CORREL(B4:B15,C4:C15)</f>
        <v>0.19096668798888022</v>
      </c>
    </row>
    <row r="23" spans="1:8">
      <c r="G23" t="s">
        <v>1198</v>
      </c>
      <c r="H23">
        <f>STDEVP(B4:B15)</f>
        <v>5.8601806070021835E-2</v>
      </c>
    </row>
    <row r="24" spans="1:8">
      <c r="G24" t="s">
        <v>1199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65F4-F789-4BB1-B1B7-4DA5ACAF502E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286</v>
      </c>
      <c r="E1" t="s">
        <v>941</v>
      </c>
    </row>
    <row r="2" spans="1:5">
      <c r="B2" t="s">
        <v>6</v>
      </c>
      <c r="C2" t="s">
        <v>940</v>
      </c>
      <c r="E2" t="s">
        <v>6</v>
      </c>
    </row>
    <row r="3" spans="1:5">
      <c r="A3" s="50">
        <v>42766</v>
      </c>
      <c r="B3">
        <v>0.11758648471300114</v>
      </c>
      <c r="C3">
        <v>0.10369608584221186</v>
      </c>
      <c r="E3">
        <f>0.6*B3+0.4*C3</f>
        <v>0.11203032516468543</v>
      </c>
    </row>
    <row r="4" spans="1:5">
      <c r="A4" s="50">
        <v>42794</v>
      </c>
      <c r="B4">
        <v>6.8241816344299377E-3</v>
      </c>
      <c r="C4">
        <v>0.40329940185140589</v>
      </c>
      <c r="E4">
        <f t="shared" ref="E4:E62" si="0">0.6*B4+0.4*C4</f>
        <v>0.16541426972122034</v>
      </c>
    </row>
    <row r="5" spans="1:5">
      <c r="A5" s="50">
        <v>42825</v>
      </c>
      <c r="B5">
        <v>-0.14639169843419994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3.0552741369460415E-2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0.22143952949067405</v>
      </c>
      <c r="E7">
        <f t="shared" si="0"/>
        <v>0.27666789242719236</v>
      </c>
    </row>
    <row r="8" spans="1:5">
      <c r="A8" s="50">
        <v>42916</v>
      </c>
      <c r="B8">
        <v>0.2775629711303349</v>
      </c>
      <c r="C8">
        <v>-0.13290754979713368</v>
      </c>
      <c r="E8">
        <f t="shared" si="0"/>
        <v>0.11337476275934746</v>
      </c>
    </row>
    <row r="9" spans="1:5">
      <c r="A9" s="50">
        <v>42947</v>
      </c>
      <c r="B9">
        <v>-2.0673420852884108E-2</v>
      </c>
      <c r="C9">
        <v>-0.21035423341081486</v>
      </c>
      <c r="E9">
        <f t="shared" si="0"/>
        <v>-9.654574587605641E-2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0.11660580975562986</v>
      </c>
      <c r="C11">
        <v>9.1658451840975708E-2</v>
      </c>
      <c r="E11">
        <f t="shared" si="0"/>
        <v>0.10662686658976819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-0.29067029894412966</v>
      </c>
      <c r="C13">
        <v>0.61356153740048047</v>
      </c>
      <c r="E13">
        <f t="shared" si="0"/>
        <v>7.1022435593714406E-2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0.39658987289078806</v>
      </c>
      <c r="C15">
        <v>-0.2186387507560065</v>
      </c>
      <c r="E15">
        <f t="shared" si="0"/>
        <v>0.15049842343207021</v>
      </c>
    </row>
    <row r="16" spans="1:5">
      <c r="A16" s="50">
        <v>43159</v>
      </c>
      <c r="B16">
        <v>0.43457290217356404</v>
      </c>
      <c r="C16">
        <v>-0.41991041674049034</v>
      </c>
      <c r="E16">
        <f t="shared" si="0"/>
        <v>9.2779574607942256E-2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-0.16169873167654833</v>
      </c>
      <c r="C18">
        <v>0.63322589577846167</v>
      </c>
      <c r="E18">
        <f t="shared" si="0"/>
        <v>0.15627111930545567</v>
      </c>
    </row>
    <row r="19" spans="1:5">
      <c r="A19" s="50">
        <v>43251</v>
      </c>
      <c r="B19">
        <v>0.36522408280063545</v>
      </c>
      <c r="C19">
        <v>-0.18041431075198985</v>
      </c>
      <c r="E19">
        <f t="shared" si="0"/>
        <v>0.14696872537958533</v>
      </c>
    </row>
    <row r="20" spans="1:5">
      <c r="A20" s="50">
        <v>43280</v>
      </c>
      <c r="B20">
        <v>-0.22451317044135613</v>
      </c>
      <c r="C20">
        <v>0.47018422380794545</v>
      </c>
      <c r="E20">
        <f t="shared" si="0"/>
        <v>5.3365787258364522E-2</v>
      </c>
    </row>
    <row r="21" spans="1:5">
      <c r="A21" s="50">
        <v>43312</v>
      </c>
      <c r="B21">
        <v>0.19295345390770766</v>
      </c>
      <c r="C21">
        <v>-6.8234648012402088E-2</v>
      </c>
      <c r="E21">
        <f t="shared" si="0"/>
        <v>8.8478213139663753E-2</v>
      </c>
    </row>
    <row r="22" spans="1:5">
      <c r="A22" s="50">
        <v>43343</v>
      </c>
      <c r="B22">
        <v>0.13466734581042794</v>
      </c>
      <c r="C22">
        <v>1.8155262221617341E-2</v>
      </c>
      <c r="E22">
        <f t="shared" si="0"/>
        <v>8.8062512374903701E-2</v>
      </c>
    </row>
    <row r="23" spans="1:5">
      <c r="A23" s="50">
        <v>43371</v>
      </c>
      <c r="B23">
        <v>0.10101940135171801</v>
      </c>
      <c r="C23">
        <v>-5.3513907768619501E-2</v>
      </c>
      <c r="E23">
        <f t="shared" si="0"/>
        <v>3.9206077703583003E-2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0.43628544662321134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0.17079849726900825</v>
      </c>
      <c r="E29">
        <f t="shared" si="0"/>
        <v>-1.1264213429883249E-2</v>
      </c>
    </row>
    <row r="30" spans="1:5">
      <c r="A30" s="50">
        <v>43585</v>
      </c>
      <c r="B30">
        <v>-1.3244494605493692E-2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0.25525890322982236</v>
      </c>
      <c r="E31">
        <f t="shared" si="0"/>
        <v>6.5645225601239768E-2</v>
      </c>
    </row>
    <row r="32" spans="1:5">
      <c r="A32" s="50">
        <v>43644</v>
      </c>
      <c r="B32">
        <v>0.20468884606017473</v>
      </c>
      <c r="C32">
        <v>1.5718797424863651E-2</v>
      </c>
      <c r="E32">
        <f t="shared" si="0"/>
        <v>0.1291008266060503</v>
      </c>
    </row>
    <row r="33" spans="1:5">
      <c r="A33" s="50">
        <v>43677</v>
      </c>
      <c r="B33">
        <v>0.19045624880502962</v>
      </c>
      <c r="C33">
        <v>-0.14595819472329766</v>
      </c>
      <c r="E33">
        <f t="shared" si="0"/>
        <v>5.5890471393698703E-2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si="0"/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0"/>
        <v>5.2671798848543297E-2</v>
      </c>
    </row>
    <row r="37" spans="1:5">
      <c r="A37" s="50">
        <v>43798</v>
      </c>
      <c r="B37">
        <v>-0.30026227034485486</v>
      </c>
      <c r="C37">
        <v>0.17510961644641093</v>
      </c>
      <c r="E37">
        <f t="shared" si="0"/>
        <v>-0.11011351562834855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0"/>
        <v>0.10313105421968013</v>
      </c>
    </row>
    <row r="39" spans="1:5">
      <c r="A39" s="50">
        <v>43861</v>
      </c>
      <c r="B39">
        <v>0.35662314368034442</v>
      </c>
      <c r="C39">
        <v>-0.20498553642793152</v>
      </c>
      <c r="E39">
        <f t="shared" si="0"/>
        <v>0.13197967163703403</v>
      </c>
    </row>
    <row r="40" spans="1:5">
      <c r="A40" s="50">
        <v>43889</v>
      </c>
      <c r="B40">
        <v>0.18043472105832981</v>
      </c>
      <c r="C40">
        <v>0.23308217474401027</v>
      </c>
      <c r="E40">
        <f t="shared" si="0"/>
        <v>0.20149370253260199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0"/>
        <v>5.7769747251183161E-2</v>
      </c>
    </row>
    <row r="42" spans="1:5">
      <c r="A42" s="50">
        <v>43951</v>
      </c>
      <c r="B42">
        <v>-5.5073361478183036E-2</v>
      </c>
      <c r="C42">
        <v>0.23506360817624361</v>
      </c>
      <c r="E42">
        <f t="shared" si="0"/>
        <v>6.0981426383587625E-2</v>
      </c>
    </row>
    <row r="43" spans="1:5">
      <c r="A43" s="50">
        <v>43980</v>
      </c>
      <c r="B43">
        <v>0.49659418804066469</v>
      </c>
      <c r="C43">
        <v>0.14871202881256287</v>
      </c>
      <c r="E43">
        <f t="shared" si="0"/>
        <v>0.35744132434942394</v>
      </c>
    </row>
    <row r="44" spans="1:5">
      <c r="A44" s="50">
        <v>44012</v>
      </c>
      <c r="B44">
        <v>0.11878820674942411</v>
      </c>
      <c r="C44">
        <v>0.18020557737379606</v>
      </c>
      <c r="E44">
        <f t="shared" si="0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0"/>
        <v>0.18824229252808192</v>
      </c>
    </row>
    <row r="46" spans="1:5">
      <c r="A46" s="50">
        <v>44074</v>
      </c>
      <c r="B46">
        <v>0.19940633873699176</v>
      </c>
      <c r="C46">
        <v>1.3524310976378656E-2</v>
      </c>
      <c r="E46">
        <f t="shared" si="0"/>
        <v>0.12505352763274652</v>
      </c>
    </row>
    <row r="47" spans="1:5">
      <c r="A47" s="50">
        <v>44104</v>
      </c>
      <c r="B47">
        <v>0.32458085685750837</v>
      </c>
      <c r="C47">
        <v>-2.2814109975112074E-2</v>
      </c>
      <c r="E47">
        <f t="shared" si="0"/>
        <v>0.18562287012446019</v>
      </c>
    </row>
    <row r="48" spans="1:5">
      <c r="A48" s="50">
        <v>44134</v>
      </c>
      <c r="B48">
        <v>-0.46380985272980346</v>
      </c>
      <c r="C48">
        <v>0.79171014402306505</v>
      </c>
      <c r="E48">
        <f t="shared" si="0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0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0"/>
        <v>0.14253619198121725</v>
      </c>
    </row>
    <row r="51" spans="1:5">
      <c r="A51" s="50">
        <v>44225</v>
      </c>
      <c r="B51">
        <v>2.6926110332607958E-2</v>
      </c>
      <c r="C51">
        <v>0.2140824576395432</v>
      </c>
      <c r="E51">
        <f t="shared" si="0"/>
        <v>0.10178864925538206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0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0"/>
        <v>0.23326039351873465</v>
      </c>
    </row>
    <row r="54" spans="1:5">
      <c r="A54" s="50">
        <v>44316</v>
      </c>
      <c r="B54">
        <v>-5.8170201073972944E-2</v>
      </c>
      <c r="C54">
        <v>8.1931592653289656E-2</v>
      </c>
      <c r="E54">
        <f t="shared" si="0"/>
        <v>-2.129483583067901E-3</v>
      </c>
    </row>
    <row r="55" spans="1:5">
      <c r="A55" s="50">
        <v>44344</v>
      </c>
      <c r="B55">
        <v>-0.19283775090385122</v>
      </c>
      <c r="C55">
        <v>0.5288236147343629</v>
      </c>
      <c r="E55">
        <f t="shared" si="0"/>
        <v>9.5826795351434443E-2</v>
      </c>
    </row>
    <row r="56" spans="1:5">
      <c r="A56" s="50">
        <v>44377</v>
      </c>
      <c r="B56">
        <v>0.44183393076288313</v>
      </c>
      <c r="C56">
        <v>-0.21393094839989688</v>
      </c>
      <c r="E56">
        <f t="shared" si="0"/>
        <v>0.17952797909777113</v>
      </c>
    </row>
    <row r="57" spans="1:5">
      <c r="A57" s="50">
        <v>44407</v>
      </c>
      <c r="B57">
        <v>0.61777813860952113</v>
      </c>
      <c r="C57">
        <v>-0.33543939010509727</v>
      </c>
      <c r="E57">
        <f t="shared" si="0"/>
        <v>0.23649112712367376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0"/>
        <v>0.20389148240305682</v>
      </c>
    </row>
    <row r="59" spans="1:5">
      <c r="A59" s="50">
        <v>44469</v>
      </c>
      <c r="B59">
        <v>0.18111939462501031</v>
      </c>
      <c r="C59">
        <v>-4.9110373142876224E-2</v>
      </c>
      <c r="E59">
        <f t="shared" si="0"/>
        <v>8.9027487517855691E-2</v>
      </c>
    </row>
    <row r="60" spans="1:5">
      <c r="A60" s="50">
        <v>44498</v>
      </c>
      <c r="B60">
        <v>-1.8631392842704736E-2</v>
      </c>
      <c r="C60">
        <v>0.30488451259502081</v>
      </c>
      <c r="E60">
        <f t="shared" si="0"/>
        <v>0.1107749693323855</v>
      </c>
    </row>
    <row r="61" spans="1:5">
      <c r="A61" s="50">
        <v>44530</v>
      </c>
      <c r="B61">
        <v>0.47176059806956705</v>
      </c>
      <c r="C61">
        <v>-0.28394094226941857</v>
      </c>
      <c r="E61">
        <f t="shared" si="0"/>
        <v>0.16947998193397279</v>
      </c>
    </row>
    <row r="62" spans="1:5">
      <c r="A62" s="50">
        <v>44560</v>
      </c>
      <c r="B62">
        <v>-0.15767136837190202</v>
      </c>
      <c r="C62">
        <v>0.24194097876664378</v>
      </c>
      <c r="E62">
        <f t="shared" si="0"/>
        <v>2.17357048351631E-3</v>
      </c>
    </row>
    <row r="64" spans="1:5">
      <c r="A64" t="s">
        <v>279</v>
      </c>
      <c r="B64">
        <f>AVERAGE(B3:B62)</f>
        <v>9.999999999999995E-2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122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5"/>
  <dimension ref="A1:G122"/>
  <sheetViews>
    <sheetView workbookViewId="0">
      <selection activeCell="C2" sqref="C2"/>
    </sheetView>
  </sheetViews>
  <sheetFormatPr defaultColWidth="9.140625" defaultRowHeight="15"/>
  <cols>
    <col min="1" max="1" width="13.28515625" customWidth="1"/>
    <col min="2" max="2" width="14.7109375" bestFit="1" customWidth="1"/>
    <col min="3" max="3" width="14.140625" bestFit="1" customWidth="1"/>
    <col min="5" max="5" width="9.5703125" bestFit="1" customWidth="1"/>
    <col min="6" max="6" width="7.42578125" bestFit="1" customWidth="1"/>
  </cols>
  <sheetData>
    <row r="1" spans="1:6">
      <c r="A1" t="s">
        <v>4</v>
      </c>
      <c r="B1" s="7" t="s">
        <v>5</v>
      </c>
      <c r="C1" s="7" t="s">
        <v>6</v>
      </c>
    </row>
    <row r="2" spans="1:6" ht="18">
      <c r="B2" s="4" t="s">
        <v>7</v>
      </c>
      <c r="C2" s="4" t="s">
        <v>8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9</v>
      </c>
      <c r="F7" s="4" t="s">
        <v>10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>
      <c r="A10" s="50">
        <v>42978</v>
      </c>
      <c r="B10">
        <v>7.8547358047169596E-3</v>
      </c>
      <c r="C10">
        <v>4.5881749741101298E-2</v>
      </c>
      <c r="E10" s="4" t="s">
        <v>11</v>
      </c>
      <c r="F10" s="4" t="s">
        <v>12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>
      <c r="A14" s="50">
        <v>43098</v>
      </c>
      <c r="B14">
        <v>-6.5665874941507104E-3</v>
      </c>
      <c r="C14">
        <v>3.0058622845351001E-2</v>
      </c>
      <c r="E14" s="4" t="s">
        <v>8</v>
      </c>
      <c r="F14" s="4" t="s">
        <v>13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9</v>
      </c>
      <c r="F19" s="4" t="s">
        <v>10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200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14</v>
      </c>
      <c r="B3" s="1" t="s">
        <v>15</v>
      </c>
      <c r="C3" s="1" t="s">
        <v>16</v>
      </c>
      <c r="F3" s="1" t="s">
        <v>19</v>
      </c>
      <c r="H3" s="1" t="s">
        <v>29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30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10</v>
      </c>
      <c r="B11">
        <f>COVAR(B4:B8,C4:C8)/VARP(C4:C8)</f>
        <v>4.9051848295727327E-2</v>
      </c>
    </row>
    <row r="12" spans="1:8">
      <c r="A12" s="3" t="s">
        <v>9</v>
      </c>
      <c r="B12">
        <f>AVERAGE(B4:B8)-B11*AVERAGE(C4:C8)</f>
        <v>-0.4395160825732119</v>
      </c>
    </row>
    <row r="14" spans="1:8">
      <c r="B14" s="4" t="s">
        <v>17</v>
      </c>
      <c r="C14" s="4" t="s">
        <v>18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200</v>
      </c>
    </row>
    <row r="22" spans="1:3">
      <c r="A22" t="s">
        <v>10</v>
      </c>
      <c r="B22">
        <f>SLOPE(B4:B8,C4:C8)</f>
        <v>4.9051848295727327E-2</v>
      </c>
    </row>
    <row r="23" spans="1:3">
      <c r="A23" t="s">
        <v>9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4</v>
      </c>
      <c r="B1" s="14" t="s">
        <v>5</v>
      </c>
      <c r="C1" s="14" t="s">
        <v>6</v>
      </c>
      <c r="D1" s="4" t="s">
        <v>19</v>
      </c>
    </row>
    <row r="2" spans="1:7">
      <c r="B2" s="4"/>
      <c r="C2" s="4"/>
    </row>
    <row r="3" spans="1:7">
      <c r="B3" s="4" t="s">
        <v>23</v>
      </c>
      <c r="C3" s="4" t="s">
        <v>24</v>
      </c>
      <c r="D3" t="s">
        <v>32</v>
      </c>
    </row>
    <row r="4" spans="1:7">
      <c r="A4" s="50">
        <v>42766</v>
      </c>
      <c r="B4">
        <v>2.2182962346577899E-2</v>
      </c>
      <c r="C4">
        <v>8.5214116912034205E-3</v>
      </c>
      <c r="D4">
        <f>B4-$F$9-$G$9*C4</f>
        <v>3.3375455089668708E-2</v>
      </c>
    </row>
    <row r="5" spans="1:7" ht="18">
      <c r="A5" s="50">
        <v>42794</v>
      </c>
      <c r="B5">
        <v>-8.97619857077252E-2</v>
      </c>
      <c r="C5">
        <v>2.2410062150882499E-2</v>
      </c>
      <c r="D5">
        <f t="shared" ref="D5:D63" si="0">B5-$F$9-$G$9*C5</f>
        <v>-6.4680842504955316E-2</v>
      </c>
      <c r="F5" t="s">
        <v>25</v>
      </c>
      <c r="G5" t="s">
        <v>26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9</v>
      </c>
      <c r="G8" s="4" t="s">
        <v>10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20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21</v>
      </c>
      <c r="G13" s="23" t="s">
        <v>22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936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27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28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si="0"/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0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0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0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0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0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0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0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0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0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0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0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0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0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0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0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0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0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0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0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0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0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0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0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0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0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0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0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31</v>
      </c>
      <c r="C1" t="s">
        <v>38</v>
      </c>
      <c r="E1" t="s">
        <v>32</v>
      </c>
    </row>
    <row r="2" spans="1:11">
      <c r="A2" s="50">
        <v>42766</v>
      </c>
      <c r="B2">
        <v>3.5005350251831102E-2</v>
      </c>
      <c r="C2">
        <v>4.3127540545249497E-2</v>
      </c>
      <c r="E2">
        <f>B2-$I$2-$I$3*C2</f>
        <v>-4.3341304181485699E-3</v>
      </c>
      <c r="H2" s="1" t="s">
        <v>9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ref="E3:E61" si="0">B3-$I$2-$I$3*C3</f>
        <v>-1.4402525618151404E-2</v>
      </c>
      <c r="H3" s="1" t="s">
        <v>10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33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34</v>
      </c>
      <c r="J8">
        <f>VARP(E2:E61)</f>
        <v>2.1053602202103635E-3</v>
      </c>
    </row>
    <row r="9" spans="1:11" ht="18.75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125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35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36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37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39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3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3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si="0"/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0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0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0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0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0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0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0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0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0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0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0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0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0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0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0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0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0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0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0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0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0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0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0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0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0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0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0"/>
        <v>1.62631302140211E-3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6CFE-AA67-4509-96E3-44D973AB7A3B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8" t="s">
        <v>260</v>
      </c>
      <c r="J1" s="198"/>
      <c r="L1" s="198" t="s">
        <v>260</v>
      </c>
      <c r="M1" s="198"/>
      <c r="R1" s="1"/>
    </row>
    <row r="2" spans="1:18">
      <c r="I2" s="198" t="s">
        <v>175</v>
      </c>
      <c r="J2" s="198"/>
      <c r="L2" s="198" t="s">
        <v>178</v>
      </c>
      <c r="M2" s="198"/>
    </row>
    <row r="3" spans="1:18">
      <c r="B3" s="198" t="s">
        <v>178</v>
      </c>
      <c r="C3" s="198"/>
      <c r="F3" s="198" t="s">
        <v>175</v>
      </c>
      <c r="G3" s="198"/>
    </row>
    <row r="4" spans="1:18">
      <c r="A4" t="s">
        <v>4</v>
      </c>
      <c r="B4" s="65" t="s">
        <v>90</v>
      </c>
      <c r="C4" s="65" t="s">
        <v>103</v>
      </c>
      <c r="D4" s="1" t="s">
        <v>66</v>
      </c>
      <c r="F4" s="65" t="s">
        <v>90</v>
      </c>
      <c r="G4" s="65" t="s">
        <v>103</v>
      </c>
    </row>
    <row r="5" spans="1:18">
      <c r="A5" t="s">
        <v>201</v>
      </c>
      <c r="B5">
        <v>5.1388423267246498E-2</v>
      </c>
      <c r="C5">
        <v>1.9800000000000002E-2</v>
      </c>
      <c r="D5">
        <f>0.007</f>
        <v>7.0000000000000001E-3</v>
      </c>
      <c r="F5">
        <f>B5-D5</f>
        <v>4.4388423267246499E-2</v>
      </c>
      <c r="G5">
        <f>C5-D5</f>
        <v>1.2800000000000002E-2</v>
      </c>
      <c r="I5" t="s">
        <v>132</v>
      </c>
      <c r="J5" s="46">
        <f>INTERCEPT(F5:F63,G5:G63)</f>
        <v>-1.4111624862225943E-2</v>
      </c>
      <c r="L5" t="s">
        <v>105</v>
      </c>
      <c r="M5" s="46">
        <f>INTERCEPT(B5:B63,C5:C63)</f>
        <v>-1.449346208681945E-2</v>
      </c>
    </row>
    <row r="6" spans="1:18">
      <c r="A6" t="s">
        <v>202</v>
      </c>
      <c r="B6">
        <v>3.85160182031885E-2</v>
      </c>
      <c r="C6">
        <v>3.6099999999999903E-2</v>
      </c>
      <c r="D6">
        <f t="shared" ref="D6:D63" si="0">0.007</f>
        <v>7.0000000000000001E-3</v>
      </c>
      <c r="F6">
        <f t="shared" ref="F6:F63" si="1">B6-D6</f>
        <v>3.1516018203188501E-2</v>
      </c>
      <c r="G6">
        <f t="shared" ref="G6:G63" si="2">C6-D6</f>
        <v>2.9099999999999904E-2</v>
      </c>
      <c r="I6" t="s">
        <v>72</v>
      </c>
      <c r="J6" s="46">
        <f>SLOPE(F5:F63,G5:G63)</f>
        <v>1.0545481749419288</v>
      </c>
      <c r="L6" t="s">
        <v>133</v>
      </c>
      <c r="M6" s="46">
        <f>SLOPE(B5:B63,C5:C63)</f>
        <v>1.0545481749419288</v>
      </c>
    </row>
    <row r="7" spans="1:18">
      <c r="A7" t="s">
        <v>203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204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205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206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207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208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209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210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211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212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213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214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215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216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217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218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219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220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221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222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223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224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225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226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227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228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229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230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231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232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233</v>
      </c>
      <c r="B37">
        <v>7.2972721469506799E-2</v>
      </c>
      <c r="C37">
        <v>1.61E-2</v>
      </c>
      <c r="D37">
        <f t="shared" si="0"/>
        <v>7.0000000000000001E-3</v>
      </c>
      <c r="F37">
        <f t="shared" si="1"/>
        <v>6.5972721469506793E-2</v>
      </c>
      <c r="G37">
        <f t="shared" si="2"/>
        <v>9.1000000000000004E-3</v>
      </c>
    </row>
    <row r="38" spans="1:7">
      <c r="A38" t="s">
        <v>234</v>
      </c>
      <c r="B38">
        <v>-8.0387834747274498E-2</v>
      </c>
      <c r="C38">
        <v>2.2100000000000002E-2</v>
      </c>
      <c r="D38">
        <f t="shared" si="0"/>
        <v>7.0000000000000001E-3</v>
      </c>
      <c r="F38">
        <f t="shared" si="1"/>
        <v>-8.7387834747274504E-2</v>
      </c>
      <c r="G38">
        <f t="shared" si="2"/>
        <v>1.5100000000000002E-2</v>
      </c>
    </row>
    <row r="39" spans="1:7">
      <c r="A39" t="s">
        <v>235</v>
      </c>
      <c r="B39">
        <v>1.72586475114084E-2</v>
      </c>
      <c r="C39">
        <v>3.9899999999999998E-2</v>
      </c>
      <c r="D39">
        <f t="shared" si="0"/>
        <v>7.0000000000000001E-3</v>
      </c>
      <c r="F39">
        <f t="shared" si="1"/>
        <v>1.0258647511408401E-2</v>
      </c>
      <c r="G39">
        <f t="shared" si="2"/>
        <v>3.2899999999999999E-2</v>
      </c>
    </row>
    <row r="40" spans="1:7">
      <c r="A40" t="s">
        <v>236</v>
      </c>
      <c r="B40">
        <v>-3.0495484202665E-3</v>
      </c>
      <c r="C40">
        <v>2.9100000000000001E-2</v>
      </c>
      <c r="D40">
        <f t="shared" si="0"/>
        <v>7.0000000000000001E-3</v>
      </c>
      <c r="F40">
        <f t="shared" si="1"/>
        <v>-1.0049548420266501E-2</v>
      </c>
      <c r="G40">
        <f t="shared" si="2"/>
        <v>2.2100000000000002E-2</v>
      </c>
    </row>
    <row r="41" spans="1:7">
      <c r="A41" t="s">
        <v>237</v>
      </c>
      <c r="B41">
        <v>7.2291667790955305E-2</v>
      </c>
      <c r="C41">
        <v>1.9999999999999901E-4</v>
      </c>
      <c r="D41">
        <f t="shared" si="0"/>
        <v>7.0000000000000001E-3</v>
      </c>
      <c r="F41">
        <f t="shared" si="1"/>
        <v>6.5291667790955299E-2</v>
      </c>
      <c r="G41">
        <f t="shared" si="2"/>
        <v>-6.8000000000000014E-3</v>
      </c>
    </row>
    <row r="42" spans="1:7">
      <c r="A42" t="s">
        <v>238</v>
      </c>
      <c r="B42">
        <v>-8.5026984485784898E-2</v>
      </c>
      <c r="C42">
        <v>-8.0100000000000005E-2</v>
      </c>
      <c r="D42">
        <f t="shared" si="0"/>
        <v>7.0000000000000001E-3</v>
      </c>
      <c r="F42">
        <f t="shared" si="1"/>
        <v>-9.2026984485784905E-2</v>
      </c>
      <c r="G42">
        <f t="shared" si="2"/>
        <v>-8.7100000000000011E-2</v>
      </c>
    </row>
    <row r="43" spans="1:7">
      <c r="A43" t="s">
        <v>239</v>
      </c>
      <c r="B43">
        <v>-0.14767567632833201</v>
      </c>
      <c r="C43">
        <v>-0.1326</v>
      </c>
      <c r="D43">
        <f t="shared" si="0"/>
        <v>7.0000000000000001E-3</v>
      </c>
      <c r="F43">
        <f t="shared" si="1"/>
        <v>-0.15467567632833201</v>
      </c>
      <c r="G43">
        <f t="shared" si="2"/>
        <v>-0.1396</v>
      </c>
    </row>
    <row r="44" spans="1:7">
      <c r="A44" t="s">
        <v>240</v>
      </c>
      <c r="B44">
        <v>0.13188481384076101</v>
      </c>
      <c r="C44">
        <v>0.13650000000000001</v>
      </c>
      <c r="D44">
        <f t="shared" si="0"/>
        <v>7.0000000000000001E-3</v>
      </c>
      <c r="F44">
        <f t="shared" si="1"/>
        <v>0.124884813840761</v>
      </c>
      <c r="G44">
        <f t="shared" si="2"/>
        <v>0.1295</v>
      </c>
    </row>
    <row r="45" spans="1:7">
      <c r="A45" t="s">
        <v>241</v>
      </c>
      <c r="B45">
        <v>8.0842695879219592E-3</v>
      </c>
      <c r="C45">
        <v>5.5899999999999998E-2</v>
      </c>
      <c r="D45">
        <f t="shared" si="0"/>
        <v>7.0000000000000001E-3</v>
      </c>
      <c r="F45">
        <f t="shared" si="1"/>
        <v>1.0842695879219591E-3</v>
      </c>
      <c r="G45">
        <f t="shared" si="2"/>
        <v>4.8899999999999999E-2</v>
      </c>
    </row>
    <row r="46" spans="1:7">
      <c r="A46" t="s">
        <v>242</v>
      </c>
      <c r="B46">
        <v>-3.30662762235025E-2</v>
      </c>
      <c r="C46">
        <v>2.47E-2</v>
      </c>
      <c r="D46">
        <f t="shared" si="0"/>
        <v>7.0000000000000001E-3</v>
      </c>
      <c r="F46">
        <f t="shared" si="1"/>
        <v>-4.0066276223502499E-2</v>
      </c>
      <c r="G46">
        <f t="shared" si="2"/>
        <v>1.77E-2</v>
      </c>
    </row>
    <row r="47" spans="1:7">
      <c r="A47" t="s">
        <v>243</v>
      </c>
      <c r="B47">
        <v>1.7967914804698001E-2</v>
      </c>
      <c r="C47">
        <v>5.7799999999999997E-2</v>
      </c>
      <c r="D47">
        <f t="shared" si="0"/>
        <v>7.0000000000000001E-3</v>
      </c>
      <c r="F47">
        <f t="shared" si="1"/>
        <v>1.0967914804698001E-2</v>
      </c>
      <c r="G47">
        <f t="shared" si="2"/>
        <v>5.0799999999999998E-2</v>
      </c>
    </row>
    <row r="48" spans="1:7">
      <c r="A48" t="s">
        <v>244</v>
      </c>
      <c r="B48">
        <v>1.61423811185867E-2</v>
      </c>
      <c r="C48">
        <v>7.6399999999999996E-2</v>
      </c>
      <c r="D48">
        <f t="shared" si="0"/>
        <v>7.0000000000000001E-3</v>
      </c>
      <c r="F48">
        <f t="shared" si="1"/>
        <v>9.142381118586701E-3</v>
      </c>
      <c r="G48">
        <f t="shared" si="2"/>
        <v>6.9399999999999989E-2</v>
      </c>
    </row>
    <row r="49" spans="1:7">
      <c r="A49" t="s">
        <v>245</v>
      </c>
      <c r="B49">
        <v>-1.32998217325723E-2</v>
      </c>
      <c r="C49">
        <v>-3.6199999999999899E-2</v>
      </c>
      <c r="D49">
        <f t="shared" si="0"/>
        <v>7.0000000000000001E-3</v>
      </c>
      <c r="F49">
        <f t="shared" si="1"/>
        <v>-2.0299821732572301E-2</v>
      </c>
      <c r="G49">
        <f t="shared" si="2"/>
        <v>-4.3199999999999898E-2</v>
      </c>
    </row>
    <row r="50" spans="1:7">
      <c r="A50" t="s">
        <v>246</v>
      </c>
      <c r="B50">
        <v>-8.2271770332119298E-2</v>
      </c>
      <c r="C50">
        <v>-2.0899999999999998E-2</v>
      </c>
      <c r="D50">
        <f t="shared" si="0"/>
        <v>7.0000000000000001E-3</v>
      </c>
      <c r="F50">
        <f t="shared" si="1"/>
        <v>-8.9271770332119305E-2</v>
      </c>
      <c r="G50">
        <f t="shared" si="2"/>
        <v>-2.7899999999999998E-2</v>
      </c>
    </row>
    <row r="51" spans="1:7">
      <c r="A51" t="s">
        <v>247</v>
      </c>
      <c r="B51">
        <v>0.12225608811132101</v>
      </c>
      <c r="C51">
        <v>0.12479999999999999</v>
      </c>
      <c r="D51">
        <f t="shared" si="0"/>
        <v>7.0000000000000001E-3</v>
      </c>
      <c r="F51">
        <f t="shared" si="1"/>
        <v>0.115256088111321</v>
      </c>
      <c r="G51">
        <f t="shared" si="2"/>
        <v>0.11779999999999999</v>
      </c>
    </row>
    <row r="52" spans="1:7">
      <c r="A52" t="s">
        <v>248</v>
      </c>
      <c r="B52">
        <v>1.9106268708126699E-2</v>
      </c>
      <c r="C52">
        <v>4.6399999999999997E-2</v>
      </c>
      <c r="D52">
        <f t="shared" si="0"/>
        <v>7.0000000000000001E-3</v>
      </c>
      <c r="F52">
        <f t="shared" si="1"/>
        <v>1.21062687081267E-2</v>
      </c>
      <c r="G52">
        <f t="shared" si="2"/>
        <v>3.9399999999999998E-2</v>
      </c>
    </row>
    <row r="53" spans="1:7">
      <c r="A53" t="s">
        <v>249</v>
      </c>
      <c r="B53">
        <v>-5.3781434156484599E-2</v>
      </c>
      <c r="C53">
        <v>-2.9999999999999997E-4</v>
      </c>
      <c r="D53">
        <f t="shared" si="0"/>
        <v>7.0000000000000001E-3</v>
      </c>
      <c r="F53">
        <f t="shared" si="1"/>
        <v>-6.0781434156484598E-2</v>
      </c>
      <c r="G53">
        <f t="shared" si="2"/>
        <v>-7.3000000000000001E-3</v>
      </c>
    </row>
    <row r="54" spans="1:7">
      <c r="A54" t="s">
        <v>250</v>
      </c>
      <c r="B54">
        <v>1.18314414028388E-2</v>
      </c>
      <c r="C54">
        <v>2.7799999999999998E-2</v>
      </c>
      <c r="D54">
        <f t="shared" si="0"/>
        <v>7.0000000000000001E-3</v>
      </c>
      <c r="F54">
        <f t="shared" si="1"/>
        <v>4.8314414028388002E-3</v>
      </c>
      <c r="G54">
        <f t="shared" si="2"/>
        <v>2.0799999999999999E-2</v>
      </c>
    </row>
    <row r="55" spans="1:7">
      <c r="A55" t="s">
        <v>251</v>
      </c>
      <c r="B55">
        <v>0.120491111390693</v>
      </c>
      <c r="C55">
        <v>3.0800000000000001E-2</v>
      </c>
      <c r="D55">
        <f t="shared" si="0"/>
        <v>7.0000000000000001E-3</v>
      </c>
      <c r="F55">
        <f t="shared" si="1"/>
        <v>0.113491111390693</v>
      </c>
      <c r="G55">
        <f t="shared" si="2"/>
        <v>2.3800000000000002E-2</v>
      </c>
    </row>
    <row r="56" spans="1:7">
      <c r="A56" t="s">
        <v>252</v>
      </c>
      <c r="B56">
        <v>6.4685559815085905E-2</v>
      </c>
      <c r="C56">
        <v>4.9299999999999997E-2</v>
      </c>
      <c r="D56">
        <f t="shared" si="0"/>
        <v>7.0000000000000001E-3</v>
      </c>
      <c r="F56">
        <f t="shared" si="1"/>
        <v>5.7685559815085906E-2</v>
      </c>
      <c r="G56">
        <f t="shared" si="2"/>
        <v>4.2299999999999997E-2</v>
      </c>
    </row>
    <row r="57" spans="1:7">
      <c r="A57" t="s">
        <v>253</v>
      </c>
      <c r="B57">
        <v>2.4429357670230099E-2</v>
      </c>
      <c r="C57">
        <v>2.8999999999999998E-3</v>
      </c>
      <c r="D57">
        <f t="shared" si="0"/>
        <v>7.0000000000000001E-3</v>
      </c>
      <c r="F57">
        <f t="shared" si="1"/>
        <v>1.74293576702301E-2</v>
      </c>
      <c r="G57">
        <f t="shared" si="2"/>
        <v>-4.1000000000000003E-3</v>
      </c>
    </row>
    <row r="58" spans="1:7">
      <c r="A58" t="s">
        <v>254</v>
      </c>
      <c r="B58">
        <v>1.9827391542668101E-2</v>
      </c>
      <c r="C58">
        <v>2.75E-2</v>
      </c>
      <c r="D58">
        <f t="shared" si="0"/>
        <v>7.0000000000000001E-3</v>
      </c>
      <c r="F58">
        <f t="shared" si="1"/>
        <v>1.2827391542668102E-2</v>
      </c>
      <c r="G58">
        <f t="shared" si="2"/>
        <v>2.0500000000000001E-2</v>
      </c>
    </row>
    <row r="59" spans="1:7">
      <c r="A59" t="s">
        <v>255</v>
      </c>
      <c r="B59">
        <v>-3.8406380833571598E-2</v>
      </c>
      <c r="C59">
        <v>1.2699999999999999E-2</v>
      </c>
      <c r="D59">
        <f t="shared" si="0"/>
        <v>7.0000000000000001E-3</v>
      </c>
      <c r="F59">
        <f t="shared" si="1"/>
        <v>-4.5406380833571597E-2</v>
      </c>
      <c r="G59">
        <f t="shared" si="2"/>
        <v>5.6999999999999993E-3</v>
      </c>
    </row>
    <row r="60" spans="1:7">
      <c r="A60" t="s">
        <v>256</v>
      </c>
      <c r="B60">
        <v>7.06378682017594E-3</v>
      </c>
      <c r="C60">
        <v>2.8999999999999901E-2</v>
      </c>
      <c r="D60">
        <f t="shared" si="0"/>
        <v>7.0000000000000001E-3</v>
      </c>
      <c r="F60">
        <f t="shared" si="1"/>
        <v>6.3786820175939889E-5</v>
      </c>
      <c r="G60">
        <f t="shared" si="2"/>
        <v>2.1999999999999902E-2</v>
      </c>
    </row>
    <row r="61" spans="1:7">
      <c r="A61" t="s">
        <v>257</v>
      </c>
      <c r="B61">
        <v>-1.00470631595045E-2</v>
      </c>
      <c r="C61">
        <v>-4.3700000000000003E-2</v>
      </c>
      <c r="D61">
        <f t="shared" si="0"/>
        <v>7.0000000000000001E-3</v>
      </c>
      <c r="F61">
        <f t="shared" si="1"/>
        <v>-1.7047063159504501E-2</v>
      </c>
      <c r="G61">
        <f t="shared" si="2"/>
        <v>-5.0700000000000002E-2</v>
      </c>
    </row>
    <row r="62" spans="1:7">
      <c r="A62" t="s">
        <v>258</v>
      </c>
      <c r="B62">
        <v>-9.9546513084460705E-2</v>
      </c>
      <c r="C62">
        <v>6.6500000000000004E-2</v>
      </c>
      <c r="D62">
        <f t="shared" si="0"/>
        <v>7.0000000000000001E-3</v>
      </c>
      <c r="F62">
        <f t="shared" si="1"/>
        <v>-0.10654651308446071</v>
      </c>
      <c r="G62">
        <f t="shared" si="2"/>
        <v>5.9500000000000004E-2</v>
      </c>
    </row>
    <row r="63" spans="1:7">
      <c r="A63" t="s">
        <v>259</v>
      </c>
      <c r="B63">
        <v>-7.8250983122879394E-3</v>
      </c>
      <c r="C63">
        <v>-1.55E-2</v>
      </c>
      <c r="D63">
        <f t="shared" si="0"/>
        <v>7.0000000000000001E-3</v>
      </c>
      <c r="F63">
        <f t="shared" si="1"/>
        <v>-1.482509831228794E-2</v>
      </c>
      <c r="G63">
        <f t="shared" si="2"/>
        <v>-2.2499999999999999E-2</v>
      </c>
    </row>
  </sheetData>
  <mergeCells count="6">
    <mergeCell ref="B3:C3"/>
    <mergeCell ref="F3:G3"/>
    <mergeCell ref="L1:M1"/>
    <mergeCell ref="L2:M2"/>
    <mergeCell ref="I1:J1"/>
    <mergeCell ref="I2:J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8" t="s">
        <v>178</v>
      </c>
      <c r="C1" s="198"/>
      <c r="D1" s="198"/>
      <c r="I1" s="198" t="s">
        <v>175</v>
      </c>
      <c r="J1" s="198"/>
      <c r="K1" s="198"/>
    </row>
    <row r="2" spans="1:18">
      <c r="B2" t="s">
        <v>31</v>
      </c>
      <c r="C2" t="s">
        <v>38</v>
      </c>
      <c r="D2" t="s">
        <v>179</v>
      </c>
      <c r="E2" t="s">
        <v>66</v>
      </c>
      <c r="G2" t="s">
        <v>32</v>
      </c>
      <c r="I2" t="s">
        <v>31</v>
      </c>
      <c r="J2" t="s">
        <v>38</v>
      </c>
      <c r="K2" t="s">
        <v>179</v>
      </c>
      <c r="M2" t="s">
        <v>40</v>
      </c>
    </row>
    <row r="3" spans="1:18" ht="15.75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>I3-($N$18+$N$19*J3+$N$20*K3)</f>
        <v>2.3453302215119959E-3</v>
      </c>
      <c r="I3">
        <f>B3-$E$3</f>
        <v>3.4105350251831104E-2</v>
      </c>
      <c r="J3">
        <f>C3-$E$3</f>
        <v>4.22272670826127E-2</v>
      </c>
      <c r="K3">
        <f t="shared" ref="K3:K61" si="0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ref="G4:G61" si="1">I4-($N$18+$N$19*J4+$N$20*K4)</f>
        <v>-7.8609079509697477E-3</v>
      </c>
      <c r="I4">
        <f t="shared" ref="I4:I61" si="2">B4-$E$3</f>
        <v>2.92637305511321E-2</v>
      </c>
      <c r="J4">
        <f t="shared" ref="J4:J61" si="3">C4-$E$3</f>
        <v>4.8492343922591601E-2</v>
      </c>
      <c r="K4">
        <f t="shared" si="0"/>
        <v>-2.7421550572912502E-2</v>
      </c>
      <c r="M4" s="29" t="s">
        <v>41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1"/>
        <v>-1.7434312872985566E-2</v>
      </c>
      <c r="I5">
        <f t="shared" si="2"/>
        <v>2.4967253406387004E-3</v>
      </c>
      <c r="J5">
        <f t="shared" si="3"/>
        <v>2.16352714243098E-2</v>
      </c>
      <c r="K5">
        <f t="shared" si="0"/>
        <v>-1.16814339697655E-2</v>
      </c>
      <c r="M5" t="s">
        <v>42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1"/>
        <v>7.1836419014150082E-2</v>
      </c>
      <c r="I6">
        <f t="shared" si="2"/>
        <v>8.9593079550522606E-2</v>
      </c>
      <c r="J6">
        <f t="shared" si="3"/>
        <v>2.24722464512985E-2</v>
      </c>
      <c r="K6">
        <f t="shared" si="0"/>
        <v>-3.5849718918888197E-2</v>
      </c>
      <c r="M6" t="s">
        <v>43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>I7-($N$18+$N$19*J7+$N$20*K7)</f>
        <v>3.5002579573604184E-2</v>
      </c>
      <c r="I7">
        <f t="shared" si="2"/>
        <v>6.6778369318538908E-2</v>
      </c>
      <c r="J7">
        <f t="shared" si="3"/>
        <v>4.3192149811142104E-2</v>
      </c>
      <c r="K7">
        <f t="shared" si="0"/>
        <v>-4.1401514232138101E-2</v>
      </c>
      <c r="M7" t="s">
        <v>44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1"/>
        <v>-4.5766812641023766E-2</v>
      </c>
      <c r="I8">
        <f t="shared" si="2"/>
        <v>-5.9060889703825899E-2</v>
      </c>
      <c r="J8">
        <f t="shared" si="3"/>
        <v>-2.62692647639736E-2</v>
      </c>
      <c r="K8">
        <f t="shared" si="0"/>
        <v>-5.9467743976806394E-3</v>
      </c>
      <c r="M8" t="s">
        <v>45</v>
      </c>
      <c r="N8">
        <v>4.6493052519721717E-2</v>
      </c>
    </row>
    <row r="9" spans="1:18" ht="15.75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1"/>
        <v>-2.1285818374184241E-2</v>
      </c>
      <c r="I9">
        <f t="shared" si="2"/>
        <v>1.6116615877347199E-2</v>
      </c>
      <c r="J9">
        <f t="shared" si="3"/>
        <v>4.0423644691784999E-2</v>
      </c>
      <c r="K9">
        <f t="shared" si="0"/>
        <v>2.4862749737724999E-2</v>
      </c>
      <c r="M9" s="27" t="s">
        <v>46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1"/>
        <v>-1.1435805037577376E-2</v>
      </c>
      <c r="I10">
        <f t="shared" si="2"/>
        <v>9.4014174874404999E-3</v>
      </c>
      <c r="J10">
        <f t="shared" si="3"/>
        <v>3.0192247992062399E-2</v>
      </c>
      <c r="K10">
        <f t="shared" si="0"/>
        <v>-5.66389656337766E-2</v>
      </c>
    </row>
    <row r="11" spans="1:18" ht="15.75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1"/>
        <v>-4.3507161032526262E-3</v>
      </c>
      <c r="I11">
        <f t="shared" si="2"/>
        <v>1.8445903288885297E-2</v>
      </c>
      <c r="J11">
        <f t="shared" si="3"/>
        <v>7.0180286509857505E-3</v>
      </c>
      <c r="K11">
        <f t="shared" si="0"/>
        <v>0.103675276140776</v>
      </c>
      <c r="M11" t="s">
        <v>47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1"/>
        <v>3.7133312949773276E-3</v>
      </c>
      <c r="I12">
        <f t="shared" si="2"/>
        <v>6.0021076022031099E-2</v>
      </c>
      <c r="J12">
        <f t="shared" si="3"/>
        <v>7.3052237174317497E-2</v>
      </c>
      <c r="K12">
        <f t="shared" si="0"/>
        <v>-1.15857679099304E-2</v>
      </c>
      <c r="M12" s="28"/>
      <c r="N12" s="28" t="s">
        <v>48</v>
      </c>
      <c r="O12" s="28" t="s">
        <v>49</v>
      </c>
      <c r="P12" s="28" t="s">
        <v>50</v>
      </c>
      <c r="Q12" s="28" t="s">
        <v>51</v>
      </c>
      <c r="R12" s="28" t="s">
        <v>52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1"/>
        <v>-1.317073054481914E-2</v>
      </c>
      <c r="I13">
        <f t="shared" si="2"/>
        <v>2.1298969686141299E-3</v>
      </c>
      <c r="J13">
        <f t="shared" si="3"/>
        <v>1.0004805247242701E-2</v>
      </c>
      <c r="K13">
        <f t="shared" si="0"/>
        <v>1.9730668843657498E-2</v>
      </c>
      <c r="M13" t="s">
        <v>53</v>
      </c>
      <c r="N13">
        <v>2</v>
      </c>
      <c r="O13">
        <v>0.12001577596130877</v>
      </c>
      <c r="P13">
        <v>6.0007887980654387E-2</v>
      </c>
      <c r="Q13">
        <v>27.760815510930257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1"/>
        <v>3.6641192985547473E-3</v>
      </c>
      <c r="I14">
        <f t="shared" si="2"/>
        <v>1.5728525954239299E-2</v>
      </c>
      <c r="J14">
        <f t="shared" si="3"/>
        <v>5.153349307954907E-5</v>
      </c>
      <c r="K14">
        <f t="shared" si="0"/>
        <v>5.2959603978132701E-2</v>
      </c>
      <c r="M14" t="s">
        <v>54</v>
      </c>
      <c r="N14">
        <v>56</v>
      </c>
      <c r="O14">
        <v>0.12104982022568969</v>
      </c>
      <c r="P14">
        <v>2.1616039326016016E-3</v>
      </c>
    </row>
    <row r="15" spans="1:18" ht="15.75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1"/>
        <v>5.9142535794733143E-2</v>
      </c>
      <c r="I15">
        <f t="shared" si="2"/>
        <v>0.121389674675787</v>
      </c>
      <c r="J15">
        <f t="shared" si="3"/>
        <v>7.4617657504983101E-2</v>
      </c>
      <c r="K15">
        <f t="shared" si="0"/>
        <v>3.0631070814471795E-2</v>
      </c>
      <c r="M15" s="27" t="s">
        <v>55</v>
      </c>
      <c r="N15" s="27">
        <v>58</v>
      </c>
      <c r="O15" s="27">
        <v>0.24106559618699847</v>
      </c>
      <c r="P15" s="27"/>
      <c r="Q15" s="27"/>
      <c r="R15" s="27"/>
    </row>
    <row r="16" spans="1:18" ht="15.75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1"/>
        <v>-6.0745784422545676E-2</v>
      </c>
      <c r="I16">
        <f t="shared" si="2"/>
        <v>-6.71312671906934E-2</v>
      </c>
      <c r="J16">
        <f t="shared" si="3"/>
        <v>5.9431068156707038E-5</v>
      </c>
      <c r="K16">
        <f t="shared" si="0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1"/>
        <v>-4.5082666913595561E-2</v>
      </c>
      <c r="I17">
        <f t="shared" si="2"/>
        <v>-6.1393538153550496E-2</v>
      </c>
      <c r="J17">
        <f t="shared" si="3"/>
        <v>-3.4652347029247195E-2</v>
      </c>
      <c r="K17">
        <f t="shared" si="0"/>
        <v>1.9496826545375299E-2</v>
      </c>
      <c r="M17" s="28"/>
      <c r="N17" s="28" t="s">
        <v>56</v>
      </c>
      <c r="O17" s="28" t="s">
        <v>45</v>
      </c>
      <c r="P17" s="28" t="s">
        <v>57</v>
      </c>
      <c r="Q17" s="28" t="s">
        <v>58</v>
      </c>
      <c r="R17" s="28" t="s">
        <v>59</v>
      </c>
      <c r="S17" s="28" t="s">
        <v>60</v>
      </c>
      <c r="T17" s="28" t="s">
        <v>63</v>
      </c>
      <c r="U17" s="28" t="s">
        <v>64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1"/>
        <v>-3.4946919609938731E-2</v>
      </c>
      <c r="I18">
        <f t="shared" si="2"/>
        <v>-1.8795363496205503E-2</v>
      </c>
      <c r="J18">
        <f t="shared" si="3"/>
        <v>-1.134065894565017E-3</v>
      </c>
      <c r="K18">
        <f t="shared" si="0"/>
        <v>9.5993075139876802E-2</v>
      </c>
      <c r="M18" t="s">
        <v>61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1"/>
        <v>1.9844616261723166E-2</v>
      </c>
      <c r="I19">
        <f t="shared" si="2"/>
        <v>7.9034793088498798E-2</v>
      </c>
      <c r="J19">
        <f t="shared" si="3"/>
        <v>6.9584264720268907E-2</v>
      </c>
      <c r="K19">
        <f t="shared" si="0"/>
        <v>3.50256656502324E-2</v>
      </c>
      <c r="M19" t="s">
        <v>62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0.42596189019810976</v>
      </c>
      <c r="S19">
        <v>0.98858118405873263</v>
      </c>
      <c r="T19">
        <v>0.42596189019810976</v>
      </c>
      <c r="U19">
        <v>0.98858118405873263</v>
      </c>
    </row>
    <row r="20" spans="1:21" ht="15.75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>I20-($N$18+$N$19*J20+$N$20*K20)</f>
        <v>2.3884763180070056E-2</v>
      </c>
      <c r="I20">
        <f t="shared" si="2"/>
        <v>2.5636310369318099E-2</v>
      </c>
      <c r="J20">
        <f t="shared" si="3"/>
        <v>-6.9987564254476199E-3</v>
      </c>
      <c r="K20">
        <f t="shared" si="0"/>
        <v>6.4254034040275802E-3</v>
      </c>
      <c r="M20" s="27" t="s">
        <v>65</v>
      </c>
      <c r="N20" s="27">
        <v>0.11446183694671147</v>
      </c>
      <c r="O20" s="27">
        <v>7.3312743789774426E-2</v>
      </c>
      <c r="P20" s="27">
        <v>1.5612815866629244</v>
      </c>
      <c r="Q20" s="27">
        <v>0.12409137302030522</v>
      </c>
      <c r="R20" s="27">
        <v>-3.2401236623426172E-2</v>
      </c>
      <c r="S20" s="27">
        <v>0.26132491051684914</v>
      </c>
      <c r="T20" s="27">
        <v>-3.2401236623426172E-2</v>
      </c>
      <c r="U20" s="27">
        <v>0.26132491051684914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1"/>
        <v>6.0887175625000005E-2</v>
      </c>
      <c r="I21">
        <f t="shared" si="2"/>
        <v>8.5914472660633207E-2</v>
      </c>
      <c r="J21">
        <f t="shared" si="3"/>
        <v>2.53402182590983E-2</v>
      </c>
      <c r="K21">
        <f t="shared" si="0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1"/>
        <v>-6.223098268243199E-2</v>
      </c>
      <c r="I22">
        <f t="shared" si="2"/>
        <v>2.8320759393899702E-3</v>
      </c>
      <c r="J22">
        <f t="shared" si="3"/>
        <v>8.84859749287433E-2</v>
      </c>
      <c r="K22">
        <f t="shared" si="0"/>
        <v>-3.0461312703496401E-2</v>
      </c>
      <c r="M22" t="s">
        <v>937</v>
      </c>
      <c r="N22">
        <f>AVERAGE(G3:G61)</f>
        <v>3.057817652569287E-18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1"/>
        <v>-3.0653599039167624E-2</v>
      </c>
      <c r="I23">
        <f t="shared" si="2"/>
        <v>-2.0968267408298102E-2</v>
      </c>
      <c r="J23">
        <f t="shared" si="3"/>
        <v>1.1445832719549599E-3</v>
      </c>
      <c r="K23">
        <f t="shared" si="0"/>
        <v>2.5420660814520598E-2</v>
      </c>
      <c r="M23" t="s">
        <v>938</v>
      </c>
      <c r="N23">
        <f>COVAR(G3:G61,J3:J61)</f>
        <v>4.9524150082176853E-19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1"/>
        <v>-2.8825915284309347E-2</v>
      </c>
      <c r="I24">
        <f t="shared" si="2"/>
        <v>-9.7413904829285303E-2</v>
      </c>
      <c r="J24">
        <f t="shared" si="3"/>
        <v>-8.5665039333867196E-2</v>
      </c>
      <c r="K24">
        <f t="shared" si="0"/>
        <v>-0.122011412687357</v>
      </c>
      <c r="M24" t="s">
        <v>939</v>
      </c>
      <c r="N24">
        <f>COVAR(G3:G61,K3:K61)</f>
        <v>1.2422384213562728E-18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1"/>
        <v>2.4982917897804692E-2</v>
      </c>
      <c r="I25">
        <f t="shared" si="2"/>
        <v>1.6586171695620898E-2</v>
      </c>
      <c r="J25">
        <f t="shared" si="3"/>
        <v>-1.5571940020104199E-2</v>
      </c>
      <c r="K25">
        <f t="shared" si="0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1"/>
        <v>9.9247233000650387E-3</v>
      </c>
      <c r="I26">
        <f t="shared" si="2"/>
        <v>-5.9197717346260795E-2</v>
      </c>
      <c r="J26">
        <f t="shared" si="3"/>
        <v>-8.4305923457884097E-2</v>
      </c>
      <c r="K26">
        <f t="shared" si="0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1"/>
        <v>1.4051264532065622E-3</v>
      </c>
      <c r="I27">
        <f t="shared" si="2"/>
        <v>7.6547994886167703E-2</v>
      </c>
      <c r="J27">
        <f t="shared" si="3"/>
        <v>7.9001766777854698E-2</v>
      </c>
      <c r="K27">
        <f t="shared" si="0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1"/>
        <v>-5.9845564812510334E-2</v>
      </c>
      <c r="I28">
        <f t="shared" si="2"/>
        <v>-3.1376673467203896E-4</v>
      </c>
      <c r="J28">
        <f t="shared" si="3"/>
        <v>7.2368044501331705E-2</v>
      </c>
      <c r="K28">
        <f t="shared" si="0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1"/>
        <v>7.1241747389546514E-3</v>
      </c>
      <c r="I29">
        <f t="shared" si="2"/>
        <v>4.3785068251231102E-2</v>
      </c>
      <c r="J29">
        <f t="shared" si="3"/>
        <v>3.9812430514869504E-2</v>
      </c>
      <c r="K29">
        <f t="shared" si="0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1"/>
        <v>-3.2208778745733496E-2</v>
      </c>
      <c r="I30">
        <f t="shared" si="2"/>
        <v>1.7852768750149697E-2</v>
      </c>
      <c r="J30">
        <f t="shared" si="3"/>
        <v>6.2799303270425308E-2</v>
      </c>
      <c r="K30">
        <f t="shared" si="0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1"/>
        <v>-7.0451615254258221E-3</v>
      </c>
      <c r="I31">
        <f t="shared" si="2"/>
        <v>-7.80168045221485E-2</v>
      </c>
      <c r="J31">
        <f t="shared" si="3"/>
        <v>-8.96962133543905E-2</v>
      </c>
      <c r="K31">
        <f t="shared" si="0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1"/>
        <v>-9.9696393154708934E-2</v>
      </c>
      <c r="I32">
        <f t="shared" si="2"/>
        <v>-2.2318844258359602E-2</v>
      </c>
      <c r="J32">
        <f t="shared" si="3"/>
        <v>8.6845974962491801E-2</v>
      </c>
      <c r="K32">
        <f t="shared" si="0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1"/>
        <v>9.6660437280036537E-2</v>
      </c>
      <c r="I33">
        <f t="shared" si="2"/>
        <v>0.12414608075174001</v>
      </c>
      <c r="J33">
        <f t="shared" si="3"/>
        <v>3.4473944354926601E-2</v>
      </c>
      <c r="K33">
        <f t="shared" si="0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1"/>
        <v>-3.350480326656937E-3</v>
      </c>
      <c r="I34">
        <f t="shared" si="2"/>
        <v>-2.36137768708513E-2</v>
      </c>
      <c r="J34">
        <f t="shared" si="3"/>
        <v>-2.2837312775869902E-2</v>
      </c>
      <c r="K34">
        <f t="shared" si="0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si="1"/>
        <v>5.7968851506985837E-3</v>
      </c>
      <c r="I35">
        <f t="shared" si="2"/>
        <v>2.4811224915209099E-2</v>
      </c>
      <c r="J35">
        <f t="shared" si="3"/>
        <v>1.23123961735923E-2</v>
      </c>
      <c r="K35">
        <f t="shared" si="0"/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1"/>
        <v>1.1757059603808122E-3</v>
      </c>
      <c r="I36">
        <f t="shared" si="2"/>
        <v>2.99400623416879E-2</v>
      </c>
      <c r="J36">
        <f t="shared" si="3"/>
        <v>3.6632038183118304E-2</v>
      </c>
      <c r="K36">
        <f t="shared" si="0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1"/>
        <v>-1.0946865111423607E-2</v>
      </c>
      <c r="I37">
        <f t="shared" si="2"/>
        <v>3.5078642544818704E-2</v>
      </c>
      <c r="J37">
        <f t="shared" si="3"/>
        <v>5.50381585942262E-2</v>
      </c>
      <c r="K37">
        <f t="shared" si="0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1"/>
        <v>-1.5295141844056025E-2</v>
      </c>
      <c r="I38">
        <f t="shared" si="2"/>
        <v>2.6168722061610299E-2</v>
      </c>
      <c r="J38">
        <f t="shared" si="3"/>
        <v>3.8773264178015403E-2</v>
      </c>
      <c r="K38">
        <f t="shared" si="0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1"/>
        <v>5.0161165520276559E-2</v>
      </c>
      <c r="I39">
        <f t="shared" si="2"/>
        <v>6.8825780860737901E-2</v>
      </c>
      <c r="J39">
        <f t="shared" si="3"/>
        <v>3.7204792223453201E-2</v>
      </c>
      <c r="K39">
        <f t="shared" si="0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1"/>
        <v>-2.7396234009075954E-3</v>
      </c>
      <c r="I40">
        <f t="shared" si="2"/>
        <v>-6.6178708095040992E-2</v>
      </c>
      <c r="J40">
        <f t="shared" si="3"/>
        <v>-7.3801084376149198E-2</v>
      </c>
      <c r="K40">
        <f t="shared" si="0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1"/>
        <v>-2.7885862560150368E-2</v>
      </c>
      <c r="I41">
        <f t="shared" si="2"/>
        <v>-0.133287566793447</v>
      </c>
      <c r="J41">
        <f t="shared" si="3"/>
        <v>-9.8197078852098996E-2</v>
      </c>
      <c r="K41">
        <f t="shared" si="0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1"/>
        <v>1.5540610681031047E-2</v>
      </c>
      <c r="I42">
        <f t="shared" si="2"/>
        <v>0.15809996365047499</v>
      </c>
      <c r="J42">
        <f t="shared" si="3"/>
        <v>0.14114817537556099</v>
      </c>
      <c r="K42">
        <f t="shared" si="0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1"/>
        <v>8.2218658879278095E-4</v>
      </c>
      <c r="I43">
        <f t="shared" si="2"/>
        <v>6.3568754367909208E-2</v>
      </c>
      <c r="J43">
        <f t="shared" si="3"/>
        <v>7.7736342272040196E-2</v>
      </c>
      <c r="K43">
        <f t="shared" si="0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1"/>
        <v>-6.5691297753887989E-2</v>
      </c>
      <c r="I44">
        <f t="shared" si="2"/>
        <v>-1.1691597251766E-2</v>
      </c>
      <c r="J44">
        <f t="shared" si="3"/>
        <v>6.9482239353397701E-2</v>
      </c>
      <c r="K44">
        <f t="shared" si="0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1"/>
        <v>5.9441231927455512E-3</v>
      </c>
      <c r="I45">
        <f t="shared" si="2"/>
        <v>4.8392972699740099E-2</v>
      </c>
      <c r="J45">
        <f t="shared" si="3"/>
        <v>5.8516773481159905E-2</v>
      </c>
      <c r="K45">
        <f t="shared" si="0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1"/>
        <v>1.0978417140280611E-2</v>
      </c>
      <c r="I46">
        <f t="shared" si="2"/>
        <v>9.42511023697368E-2</v>
      </c>
      <c r="J46">
        <f t="shared" si="3"/>
        <v>0.11045565828651301</v>
      </c>
      <c r="K46">
        <f t="shared" si="0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1"/>
        <v>-5.5424764093383996E-2</v>
      </c>
      <c r="I47">
        <f t="shared" si="2"/>
        <v>-0.1014995905345</v>
      </c>
      <c r="J47">
        <f t="shared" si="3"/>
        <v>-4.9568503645936797E-2</v>
      </c>
      <c r="K47">
        <f t="shared" si="0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1"/>
        <v>0.1311102389644476</v>
      </c>
      <c r="I48">
        <f t="shared" si="2"/>
        <v>0.101795150295326</v>
      </c>
      <c r="J48">
        <f t="shared" si="3"/>
        <v>-4.4117165102474896E-2</v>
      </c>
      <c r="K48">
        <f t="shared" si="0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1"/>
        <v>-4.1276397049042457E-2</v>
      </c>
      <c r="I49">
        <f t="shared" si="2"/>
        <v>8.4669695327646205E-2</v>
      </c>
      <c r="J49">
        <f t="shared" si="3"/>
        <v>0.124406207208644</v>
      </c>
      <c r="K49">
        <f t="shared" si="0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1"/>
        <v>-5.3561035488285023E-2</v>
      </c>
      <c r="I50">
        <f t="shared" si="2"/>
        <v>-1.9031975268655199E-3</v>
      </c>
      <c r="J50">
        <f t="shared" si="3"/>
        <v>5.6249119056255605E-2</v>
      </c>
      <c r="K50">
        <f t="shared" si="0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1"/>
        <v>3.5811821525074498E-2</v>
      </c>
      <c r="I51">
        <f t="shared" si="2"/>
        <v>4.1732811118439003E-2</v>
      </c>
      <c r="J51">
        <f t="shared" si="3"/>
        <v>-7.9381544066861303E-3</v>
      </c>
      <c r="K51">
        <f t="shared" si="0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1"/>
        <v>6.4171661526319937E-2</v>
      </c>
      <c r="I52">
        <f t="shared" si="2"/>
        <v>0.105565091929161</v>
      </c>
      <c r="J52">
        <f t="shared" si="3"/>
        <v>1.39022723454301E-2</v>
      </c>
      <c r="K52">
        <f t="shared" si="0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1"/>
        <v>5.2304582413673344E-3</v>
      </c>
      <c r="I53">
        <f t="shared" si="2"/>
        <v>1.9184961578440497E-2</v>
      </c>
      <c r="J53">
        <f t="shared" si="3"/>
        <v>6.4930339558565003E-3</v>
      </c>
      <c r="K53">
        <f t="shared" si="0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1"/>
        <v>9.8064798166523276E-2</v>
      </c>
      <c r="I54">
        <f t="shared" si="2"/>
        <v>0.14017983326866298</v>
      </c>
      <c r="J54">
        <f t="shared" si="3"/>
        <v>5.05658596638544E-2</v>
      </c>
      <c r="K54">
        <f t="shared" si="0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1"/>
        <v>-3.4515498790152663E-3</v>
      </c>
      <c r="I55">
        <f t="shared" si="2"/>
        <v>5.2345343371574008E-4</v>
      </c>
      <c r="J55">
        <f t="shared" si="3"/>
        <v>-1.3262669902963899E-2</v>
      </c>
      <c r="K55">
        <f t="shared" si="0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1"/>
        <v>-2.7551178332163528E-2</v>
      </c>
      <c r="I56">
        <f t="shared" si="2"/>
        <v>3.5139602811701004E-2</v>
      </c>
      <c r="J56">
        <f t="shared" si="3"/>
        <v>7.1863620975501905E-2</v>
      </c>
      <c r="K56">
        <f t="shared" si="0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1"/>
        <v>8.3496362318775053E-2</v>
      </c>
      <c r="I57">
        <f t="shared" si="2"/>
        <v>0.102606028852264</v>
      </c>
      <c r="J57">
        <f t="shared" si="3"/>
        <v>3.28036470165914E-2</v>
      </c>
      <c r="K57">
        <f t="shared" si="0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1"/>
        <v>4.5169383004680895E-2</v>
      </c>
      <c r="I58">
        <f t="shared" si="2"/>
        <v>7.3109166610415402E-2</v>
      </c>
      <c r="J58">
        <f t="shared" si="3"/>
        <v>3.4203491551159405E-2</v>
      </c>
      <c r="K58">
        <f t="shared" si="0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1"/>
        <v>-5.3114863971019728E-2</v>
      </c>
      <c r="I59">
        <f t="shared" si="2"/>
        <v>-7.7069227305179899E-2</v>
      </c>
      <c r="J59">
        <f t="shared" si="3"/>
        <v>-5.8343330662756196E-2</v>
      </c>
      <c r="K59">
        <f t="shared" si="0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1"/>
        <v>3.2101184088642806E-2</v>
      </c>
      <c r="I60">
        <f t="shared" si="2"/>
        <v>0.106598690955805</v>
      </c>
      <c r="J60">
        <f t="shared" si="3"/>
        <v>8.1010832208393099E-2</v>
      </c>
      <c r="K60">
        <f t="shared" si="0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1"/>
        <v>-6.3117322479256818E-2</v>
      </c>
      <c r="I61">
        <f t="shared" si="2"/>
        <v>-4.2431001833124295E-2</v>
      </c>
      <c r="J61">
        <f t="shared" si="3"/>
        <v>3.02635736409353E-2</v>
      </c>
      <c r="K61">
        <f t="shared" si="0"/>
        <v>-5.8398053951519598E-2</v>
      </c>
    </row>
    <row r="62" spans="1:11">
      <c r="A62" s="50"/>
    </row>
  </sheetData>
  <mergeCells count="2">
    <mergeCell ref="I1:K1"/>
    <mergeCell ref="B1:D1"/>
  </mergeCells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25AF0-3F98-4379-B350-8E50D40A0A7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92</v>
      </c>
      <c r="D1" t="s">
        <v>269</v>
      </c>
      <c r="E1" t="s">
        <v>270</v>
      </c>
      <c r="F1" t="s">
        <v>271</v>
      </c>
    </row>
    <row r="2" spans="1:13">
      <c r="A2" t="s">
        <v>104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6</v>
      </c>
    </row>
    <row r="3" spans="1:13">
      <c r="A3" t="s">
        <v>272</v>
      </c>
      <c r="J3" t="s">
        <v>273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79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274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/>
    <col min="2" max="5" width="9.5703125" style="26" bestFit="1" customWidth="1"/>
    <col min="6" max="8" width="9.140625" style="26"/>
    <col min="9" max="9" width="10.7109375" style="26" bestFit="1" customWidth="1"/>
    <col min="10" max="16384" width="9.140625" style="26"/>
  </cols>
  <sheetData>
    <row r="1" spans="1:12">
      <c r="A1" s="37" t="s">
        <v>79</v>
      </c>
      <c r="B1" s="38"/>
      <c r="J1" s="37"/>
      <c r="K1" s="37"/>
      <c r="L1" s="37"/>
    </row>
    <row r="2" spans="1:12">
      <c r="B2" s="40" t="s">
        <v>90</v>
      </c>
      <c r="C2" s="40" t="s">
        <v>91</v>
      </c>
      <c r="D2" s="40" t="s">
        <v>92</v>
      </c>
      <c r="I2" s="39"/>
    </row>
    <row r="3" spans="1:12">
      <c r="A3" s="40" t="s">
        <v>90</v>
      </c>
      <c r="B3" s="67">
        <v>1.5872010690763888E-3</v>
      </c>
      <c r="C3" s="67">
        <v>-3.0722819991666666E-4</v>
      </c>
      <c r="D3" s="67">
        <v>1.895233106763889E-3</v>
      </c>
      <c r="I3" s="39"/>
    </row>
    <row r="4" spans="1:12">
      <c r="A4" s="40" t="s">
        <v>91</v>
      </c>
      <c r="B4" s="67">
        <v>-3.0722819991666666E-4</v>
      </c>
      <c r="C4" s="67">
        <v>9.9831602540000012E-3</v>
      </c>
      <c r="D4" s="67">
        <v>-2.6242060767500005E-3</v>
      </c>
      <c r="I4" s="39"/>
    </row>
    <row r="5" spans="1:12">
      <c r="A5" s="40" t="s">
        <v>92</v>
      </c>
      <c r="B5" s="67">
        <v>1.895233106763889E-3</v>
      </c>
      <c r="C5" s="67">
        <v>-2.6242060767500005E-3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90</v>
      </c>
      <c r="C7" s="37" t="s">
        <v>91</v>
      </c>
      <c r="D7" s="37" t="s">
        <v>92</v>
      </c>
      <c r="E7" s="37" t="s">
        <v>93</v>
      </c>
      <c r="I7" s="39"/>
    </row>
    <row r="8" spans="1:12">
      <c r="A8" s="26" t="s">
        <v>0</v>
      </c>
      <c r="B8" s="38">
        <v>5.6314166666666665E-3</v>
      </c>
      <c r="C8" s="38">
        <v>2.7948999999999998E-2</v>
      </c>
      <c r="D8" s="38">
        <v>2.7191166666666666E-2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>
      <c r="A11" s="42" t="s">
        <v>94</v>
      </c>
      <c r="B11" s="43"/>
      <c r="I11" s="39"/>
    </row>
    <row r="12" spans="1:12" ht="15.75">
      <c r="A12" s="44" t="s">
        <v>6</v>
      </c>
      <c r="B12" s="44" t="s">
        <v>95</v>
      </c>
      <c r="C12" s="44" t="s">
        <v>96</v>
      </c>
      <c r="D12" s="44" t="s">
        <v>97</v>
      </c>
      <c r="E12" s="44" t="s">
        <v>0</v>
      </c>
      <c r="F12" s="44" t="s">
        <v>1158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>SUMPRODUCT(B13:D13,$B$8:$D$8)</f>
        <v>-2.859905631866666E-2</v>
      </c>
      <c r="F13" s="68">
        <f>SQRT(SUMPRODUCT(MMULT(B13:D13,$B$3:$D$5),B13:D13))</f>
        <v>9.2862170250890344E-2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ref="E14:E22" si="1">SUMPRODUCT(B14:D14,$B$8:$D$8)</f>
        <v>-5.9809120684566654E-3</v>
      </c>
      <c r="F14" s="68">
        <f t="shared" ref="F14:F22" si="2">SQRT(SUMPRODUCT(MMULT(B14:D14,$B$3:$D$5),B14:D14))</f>
        <v>6.1810300869813803E-2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2.6123626592667287E-2</v>
      </c>
      <c r="F15" s="68">
        <f t="shared" si="2"/>
        <v>0.13387398524639182</v>
      </c>
    </row>
    <row r="16" spans="1:12">
      <c r="A16" s="26">
        <v>4</v>
      </c>
      <c r="B16" s="68">
        <v>-2.0360130292829126</v>
      </c>
      <c r="C16" s="68">
        <v>-0.19176468413206749</v>
      </c>
      <c r="D16" s="68">
        <f t="shared" si="0"/>
        <v>3.2277777134149801</v>
      </c>
      <c r="E16" s="68">
        <f t="shared" si="1"/>
        <v>7.0941772904957526E-2</v>
      </c>
      <c r="F16" s="68">
        <f t="shared" si="2"/>
        <v>0.2435783574029764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2.043061654876829E-2</v>
      </c>
      <c r="F17" s="68">
        <f t="shared" si="2"/>
        <v>0.15355143855707418</v>
      </c>
    </row>
    <row r="18" spans="1:7">
      <c r="A18" s="26">
        <v>6</v>
      </c>
      <c r="B18" s="68">
        <v>1.4718671081936918</v>
      </c>
      <c r="C18" s="68">
        <v>1.0130315786227584</v>
      </c>
      <c r="D18" s="68">
        <f t="shared" si="0"/>
        <v>-1.4848986868164502</v>
      </c>
      <c r="E18" s="68">
        <f t="shared" si="1"/>
        <v>-3.7742111212126644E-3</v>
      </c>
      <c r="F18" s="68">
        <f t="shared" si="2"/>
        <v>0.16762834521653086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2.1474199630691609E-2</v>
      </c>
      <c r="F19" s="68">
        <f t="shared" si="2"/>
        <v>7.7075804826186339E-2</v>
      </c>
    </row>
    <row r="20" spans="1:7">
      <c r="A20" s="26">
        <v>8</v>
      </c>
      <c r="B20" s="68">
        <v>1.7327920431853272</v>
      </c>
      <c r="C20" s="68">
        <v>-1.0590883903205395</v>
      </c>
      <c r="D20" s="68">
        <f t="shared" si="0"/>
        <v>0.32629634713521227</v>
      </c>
      <c r="E20" s="68">
        <f t="shared" si="1"/>
        <v>-1.0970009071529438E-2</v>
      </c>
      <c r="F20" s="68">
        <f t="shared" si="2"/>
        <v>0.14767233997352958</v>
      </c>
    </row>
    <row r="21" spans="1:7">
      <c r="A21" s="26">
        <v>9</v>
      </c>
      <c r="B21" s="68">
        <v>-0.28745262170559727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4.8863435141094522E-2</v>
      </c>
      <c r="F22" s="68">
        <f t="shared" si="2"/>
        <v>0.13168165147813804</v>
      </c>
    </row>
    <row r="25" spans="1:7" ht="21">
      <c r="A25" s="42" t="s">
        <v>99</v>
      </c>
    </row>
    <row r="26" spans="1:7" ht="15.75">
      <c r="A26" s="44" t="s">
        <v>6</v>
      </c>
      <c r="B26" s="44" t="s">
        <v>95</v>
      </c>
      <c r="C26" s="44" t="s">
        <v>96</v>
      </c>
      <c r="D26" s="44" t="s">
        <v>97</v>
      </c>
      <c r="E26" s="44" t="s">
        <v>0</v>
      </c>
      <c r="F26" s="44" t="s">
        <v>1158</v>
      </c>
      <c r="G26" s="44" t="s">
        <v>100</v>
      </c>
    </row>
    <row r="27" spans="1:7">
      <c r="A27" s="26">
        <v>1</v>
      </c>
      <c r="B27" s="68">
        <v>2.6364789346538884</v>
      </c>
      <c r="C27" s="68">
        <v>-0.46097201046327257</v>
      </c>
      <c r="D27" s="68">
        <f t="shared" ref="D27:D36" si="3">1-SUM(B27:C27)</f>
        <v>-1.175506924190616</v>
      </c>
      <c r="E27" s="68">
        <f>SUMPRODUCT(B27:D27,$B$8:$D$8)</f>
        <v>-3.0000000000000256E-2</v>
      </c>
      <c r="F27" s="68">
        <f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1.9489910413606555</v>
      </c>
      <c r="C28" s="68">
        <v>-0.22618042161689306</v>
      </c>
      <c r="D28" s="68">
        <f t="shared" si="3"/>
        <v>-0.72281061974376248</v>
      </c>
      <c r="E28" s="68">
        <f t="shared" ref="E28:E36" si="4">SUMPRODUCT(B28:D28,$B$8:$D$8)</f>
        <v>-1.5000000000157396E-2</v>
      </c>
      <c r="F28" s="68">
        <f t="shared" ref="F28:F36" si="5">SQRT(SUMPRODUCT(MMULT(B28:D28,$B$3:$D$5),B28:D28))</f>
        <v>6.5863193265034078E-2</v>
      </c>
      <c r="G28" s="68">
        <f>G27+0.015</f>
        <v>-1.4999999999999999E-2</v>
      </c>
    </row>
    <row r="29" spans="1:7">
      <c r="A29" s="26">
        <v>3</v>
      </c>
      <c r="B29" s="68">
        <v>1.2615005039191503</v>
      </c>
      <c r="C29" s="68">
        <v>8.5359437486831162E-3</v>
      </c>
      <c r="D29" s="68">
        <f t="shared" si="3"/>
        <v>-0.27003644766783341</v>
      </c>
      <c r="E29" s="68">
        <f t="shared" si="4"/>
        <v>-2.3418766925686896E-17</v>
      </c>
      <c r="F29" s="68">
        <f t="shared" si="5"/>
        <v>4.1961314661838035E-2</v>
      </c>
      <c r="G29" s="68">
        <f t="shared" ref="G29:G36" si="6">G28+0.015</f>
        <v>0</v>
      </c>
    </row>
    <row r="30" spans="1:7">
      <c r="A30" s="26">
        <v>4</v>
      </c>
      <c r="B30" s="68">
        <v>0.57400775109815538</v>
      </c>
      <c r="C30" s="68">
        <v>0.24318928472701704</v>
      </c>
      <c r="D30" s="68">
        <f t="shared" si="3"/>
        <v>0.18280296417482755</v>
      </c>
      <c r="E30" s="68">
        <f t="shared" si="4"/>
        <v>1.5000000001203833E-2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-0.11347780761295949</v>
      </c>
      <c r="C31" s="68">
        <v>0.47804727671737601</v>
      </c>
      <c r="D31" s="68">
        <f t="shared" si="3"/>
        <v>0.63543053089558343</v>
      </c>
      <c r="E31" s="68">
        <f t="shared" si="4"/>
        <v>2.9999999990555817E-2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4.4999999995922191E-2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5.9999999998546036E-2</v>
      </c>
      <c r="F33" s="68">
        <f t="shared" si="5"/>
        <v>0.11797995471270768</v>
      </c>
      <c r="G33" s="68">
        <f t="shared" si="6"/>
        <v>0.06</v>
      </c>
    </row>
    <row r="34" spans="1:7">
      <c r="A34" s="26">
        <v>8</v>
      </c>
      <c r="B34" s="68">
        <v>-2.1759961813654445</v>
      </c>
      <c r="C34" s="68">
        <v>1.1808660323829465</v>
      </c>
      <c r="D34" s="68">
        <f t="shared" si="3"/>
        <v>1.995130148982498</v>
      </c>
      <c r="E34" s="68">
        <f t="shared" si="4"/>
        <v>7.4999999979401183E-2</v>
      </c>
      <c r="F34" s="68">
        <f t="shared" si="5"/>
        <v>0.15025233753975936</v>
      </c>
      <c r="G34" s="68">
        <f t="shared" si="6"/>
        <v>7.4999999999999997E-2</v>
      </c>
    </row>
    <row r="35" spans="1:7">
      <c r="A35" s="26">
        <v>9</v>
      </c>
      <c r="B35" s="68">
        <v>-2.8633952731359957</v>
      </c>
      <c r="C35" s="68">
        <v>1.4181839235543672</v>
      </c>
      <c r="D35" s="68">
        <f t="shared" si="3"/>
        <v>2.4452113495816286</v>
      </c>
      <c r="E35" s="68">
        <f t="shared" si="4"/>
        <v>8.9999999956727389E-2</v>
      </c>
      <c r="F35" s="68">
        <f t="shared" si="5"/>
        <v>0.18297259957673523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1.6509740256059584</v>
      </c>
      <c r="D36" s="68">
        <f t="shared" si="3"/>
        <v>2.8999799433742735</v>
      </c>
      <c r="E36" s="68">
        <f t="shared" si="4"/>
        <v>0.10500000964845994</v>
      </c>
      <c r="F36" s="68">
        <f t="shared" si="5"/>
        <v>0.21593721252979731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>
      <c r="A40" s="42" t="s">
        <v>101</v>
      </c>
    </row>
    <row r="41" spans="1:7" ht="15.75">
      <c r="A41" s="44" t="s">
        <v>6</v>
      </c>
      <c r="B41" s="44" t="s">
        <v>95</v>
      </c>
      <c r="C41" s="44" t="s">
        <v>96</v>
      </c>
      <c r="D41" s="44" t="s">
        <v>97</v>
      </c>
      <c r="E41" s="44" t="s">
        <v>0</v>
      </c>
      <c r="F41" s="44" t="s">
        <v>98</v>
      </c>
      <c r="G41" s="44" t="s">
        <v>74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4.1199932821089191E-2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21</v>
      </c>
      <c r="F44" s="26" t="s">
        <v>22</v>
      </c>
    </row>
    <row r="45" spans="1:7">
      <c r="D45" s="26" t="s">
        <v>1159</v>
      </c>
      <c r="E45" s="26">
        <f>0</f>
        <v>0</v>
      </c>
      <c r="F45" s="45">
        <f>E8</f>
        <v>1.5E-3</v>
      </c>
    </row>
    <row r="46" spans="1:7">
      <c r="D46" s="26" t="s">
        <v>1160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B4EBA-E656-4D9C-9E21-234D58C44F35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964</v>
      </c>
      <c r="C3" t="s">
        <v>967</v>
      </c>
      <c r="D3" t="s">
        <v>965</v>
      </c>
      <c r="E3" t="s">
        <v>966</v>
      </c>
      <c r="F3" t="s">
        <v>93</v>
      </c>
    </row>
    <row r="4" spans="1:6">
      <c r="A4" t="s">
        <v>0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968</v>
      </c>
    </row>
    <row r="7" spans="1:6">
      <c r="B7" t="s">
        <v>964</v>
      </c>
      <c r="C7" t="s">
        <v>967</v>
      </c>
      <c r="D7" t="s">
        <v>965</v>
      </c>
      <c r="E7" t="s">
        <v>966</v>
      </c>
    </row>
    <row r="8" spans="1:6">
      <c r="A8" t="s">
        <v>964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967</v>
      </c>
      <c r="B9">
        <v>6.0000000000000001E-3</v>
      </c>
      <c r="C9">
        <v>4.0000000000000008E-2</v>
      </c>
      <c r="D9">
        <v>-8.0000000000000019E-3</v>
      </c>
      <c r="E9">
        <v>-1.0499999999999999E-2</v>
      </c>
    </row>
    <row r="10" spans="1:6">
      <c r="A10" t="s">
        <v>965</v>
      </c>
      <c r="B10">
        <v>3.0000000000000001E-3</v>
      </c>
      <c r="C10">
        <v>-8.0000000000000019E-3</v>
      </c>
      <c r="D10">
        <v>0.16000000000000003</v>
      </c>
      <c r="E10">
        <v>1.9599999999999999E-2</v>
      </c>
    </row>
    <row r="11" spans="1:6">
      <c r="A11" t="s">
        <v>966</v>
      </c>
      <c r="B11">
        <v>5.2500000000000003E-3</v>
      </c>
      <c r="C11">
        <v>-1.0499999999999999E-2</v>
      </c>
      <c r="D11">
        <v>1.9599999999999999E-2</v>
      </c>
      <c r="E11">
        <v>0.12249999999999998</v>
      </c>
    </row>
    <row r="13" spans="1:6">
      <c r="A13" t="s">
        <v>104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0</v>
      </c>
      <c r="B14">
        <f>SUMPRODUCT(B13:E13,B4:E4)</f>
        <v>0.20300042868082199</v>
      </c>
    </row>
    <row r="15" spans="1:6">
      <c r="A15" t="s">
        <v>950</v>
      </c>
      <c r="B15">
        <f>SUMPRODUCT(MMULT(B13:E13,B8:E11),B13:E13)</f>
        <v>8.3449229418380691E-2</v>
      </c>
    </row>
    <row r="16" spans="1:6">
      <c r="A16" t="s">
        <v>951</v>
      </c>
      <c r="B16">
        <f>SQRT(B15)</f>
        <v>0.28887580275679148</v>
      </c>
    </row>
    <row r="17" spans="1:3">
      <c r="A17" t="s">
        <v>74</v>
      </c>
      <c r="B17">
        <f>(B14-0.01)/B16</f>
        <v>0.6681086710585854</v>
      </c>
    </row>
    <row r="19" spans="1:3">
      <c r="B19" t="s">
        <v>986</v>
      </c>
    </row>
    <row r="20" spans="1:3">
      <c r="A20" t="s">
        <v>964</v>
      </c>
      <c r="B20">
        <f>B13</f>
        <v>1</v>
      </c>
      <c r="C20">
        <f>B20/(1+$C$13)</f>
        <v>0.49501147778198873</v>
      </c>
    </row>
    <row r="21" spans="1:3">
      <c r="A21" t="s">
        <v>985</v>
      </c>
      <c r="B21">
        <f>C13</f>
        <v>1.0201551779783511</v>
      </c>
      <c r="C21">
        <f>B21/(1+$C$13)</f>
        <v>0.50498852221801127</v>
      </c>
    </row>
    <row r="22" spans="1:3">
      <c r="A22" t="s">
        <v>987</v>
      </c>
      <c r="B22">
        <f>D13</f>
        <v>0.1386915190257931</v>
      </c>
      <c r="C22">
        <f>B22/(1+$C$13)</f>
        <v>6.8653893788786655E-2</v>
      </c>
    </row>
    <row r="23" spans="1:3">
      <c r="A23" t="s">
        <v>988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 cm="1">
        <f t="array" ref="XFD1048550">solver_pre</f>
        <v>9.9999999999999995E-7</v>
      </c>
    </row>
    <row r="1048551" spans="16384:16384">
      <c r="XFD1048551" cm="1">
        <f t="array" ref="XFD1048551">solver_scl</f>
        <v>1</v>
      </c>
    </row>
    <row r="1048552" spans="16384:16384">
      <c r="XFD1048552" cm="1">
        <f t="array" ref="XFD1048552">solver_rlx</f>
        <v>2</v>
      </c>
    </row>
    <row r="1048553" spans="16384:16384">
      <c r="XFD1048553" cm="1">
        <f t="array" ref="XFD1048553">solver_tol</f>
        <v>0.01</v>
      </c>
    </row>
    <row r="1048554" spans="16384:16384">
      <c r="XFD1048554" cm="1">
        <f t="array" ref="XFD1048554">solver_cvg</f>
        <v>1E-4</v>
      </c>
    </row>
    <row r="1048555" spans="16384:16384">
      <c r="XFD1048555" t="e" cm="1">
        <f t="array" ref="XFD1048555">AREAS(solver_adj1)</f>
        <v>#NAME?</v>
      </c>
    </row>
    <row r="1048556" spans="16384:16384">
      <c r="XFD1048556" cm="1">
        <f t="array" ref="XFD1048556">solver_ssz</f>
        <v>100</v>
      </c>
    </row>
    <row r="1048557" spans="16384:16384">
      <c r="XFD1048557" cm="1">
        <f t="array" ref="XFD1048557">solver_rsd</f>
        <v>0</v>
      </c>
    </row>
    <row r="1048558" spans="16384:16384">
      <c r="XFD1048558" cm="1">
        <f t="array" ref="XFD1048558">solver_mrt</f>
        <v>7.4999999999999997E-2</v>
      </c>
    </row>
    <row r="1048559" spans="16384:16384">
      <c r="XFD1048559" cm="1">
        <f t="array" ref="XFD1048559">solver_mni</f>
        <v>30</v>
      </c>
    </row>
    <row r="1048560" spans="16384:16384">
      <c r="XFD1048560" cm="1">
        <f t="array" ref="XFD1048560">solver_rbv</f>
        <v>1</v>
      </c>
    </row>
    <row r="1048561" spans="16384:16384">
      <c r="XFD1048561" cm="1">
        <f t="array" ref="XFD1048561">solver_neg</f>
        <v>2</v>
      </c>
    </row>
    <row r="1048562" spans="16384:16384">
      <c r="XFD1048562" t="e" cm="1">
        <f t="array" ref="XFD1048562">solver_ntr</f>
        <v>#NAME?</v>
      </c>
    </row>
    <row r="1048563" spans="16384:16384">
      <c r="XFD1048563" t="e" cm="1">
        <f t="array" ref="XFD1048563">solver_acc</f>
        <v>#NAME?</v>
      </c>
    </row>
    <row r="1048564" spans="16384:16384">
      <c r="XFD1048564" t="e" cm="1">
        <f t="array" ref="XFD1048564">solver_res</f>
        <v>#NAME?</v>
      </c>
    </row>
    <row r="1048565" spans="16384:16384">
      <c r="XFD1048565" t="e" cm="1">
        <f t="array" ref="XFD1048565">solver_ars</f>
        <v>#NAME?</v>
      </c>
    </row>
    <row r="1048566" spans="16384:16384">
      <c r="XFD1048566" t="e" cm="1">
        <f t="array" ref="XFD1048566">solver_sta</f>
        <v>#NAME?</v>
      </c>
    </row>
    <row r="1048567" spans="16384:16384">
      <c r="XFD1048567" t="e" cm="1">
        <f t="array" ref="XFD1048567">solver_met</f>
        <v>#NAME?</v>
      </c>
    </row>
    <row r="1048568" spans="16384:16384">
      <c r="XFD1048568" t="e" cm="1">
        <f t="array" ref="XFD1048568">solver_soc</f>
        <v>#NAME?</v>
      </c>
    </row>
    <row r="1048569" spans="16384:16384">
      <c r="XFD1048569" t="e" cm="1">
        <f t="array" ref="XFD1048569">solver_lpt</f>
        <v>#NAME?</v>
      </c>
    </row>
    <row r="1048570" spans="16384:16384">
      <c r="XFD1048570" t="e" cm="1">
        <f t="array" ref="XFD1048570">solver_lpp</f>
        <v>#NAME?</v>
      </c>
    </row>
    <row r="1048571" spans="16384:16384">
      <c r="XFD1048571" t="e" cm="1">
        <f t="array" ref="XFD1048571">solver_gap</f>
        <v>#NAME?</v>
      </c>
    </row>
    <row r="1048572" spans="16384:16384">
      <c r="XFD1048572" t="e" cm="1">
        <f t="array" ref="XFD1048572">solver_ips</f>
        <v>#NAME?</v>
      </c>
    </row>
    <row r="1048573" spans="16384:16384">
      <c r="XFD1048573" t="e" cm="1">
        <f t="array" ref="XFD1048573">solver_fea</f>
        <v>#NAME?</v>
      </c>
    </row>
    <row r="1048574" spans="16384:16384">
      <c r="XFD1048574" t="e" cm="1">
        <f t="array" ref="XFD1048574">solver_ipi</f>
        <v>#NAME?</v>
      </c>
    </row>
    <row r="1048575" spans="16384:16384">
      <c r="XFD1048575" t="e" cm="1">
        <f t="array" ref="XFD1048575">solver_ipd</f>
        <v>#NAME?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66</v>
      </c>
      <c r="B1" s="1">
        <v>2E-3</v>
      </c>
      <c r="F1" s="199" t="s">
        <v>175</v>
      </c>
      <c r="G1" s="199"/>
      <c r="H1" s="199"/>
      <c r="I1" s="199"/>
      <c r="J1" s="1"/>
      <c r="P1" s="1"/>
      <c r="Q1" s="1"/>
    </row>
    <row r="2" spans="1:17">
      <c r="A2" s="1"/>
      <c r="B2" s="198"/>
      <c r="C2" s="198"/>
      <c r="D2" s="198"/>
      <c r="E2" s="3"/>
      <c r="F2" s="71"/>
      <c r="G2" s="69" t="s">
        <v>67</v>
      </c>
      <c r="H2" s="69"/>
      <c r="I2" s="69" t="s">
        <v>67</v>
      </c>
      <c r="J2" s="1"/>
      <c r="P2" s="1"/>
      <c r="Q2" s="1"/>
    </row>
    <row r="3" spans="1:17">
      <c r="B3" s="198" t="s">
        <v>178</v>
      </c>
      <c r="C3" s="198"/>
      <c r="D3" s="198"/>
      <c r="E3" s="3"/>
      <c r="F3" s="71"/>
      <c r="G3" s="70" t="s">
        <v>68</v>
      </c>
      <c r="H3" s="70"/>
      <c r="I3" s="70" t="s">
        <v>69</v>
      </c>
      <c r="J3" s="3"/>
      <c r="P3" s="3"/>
      <c r="Q3" s="3"/>
    </row>
    <row r="4" spans="1:17" ht="26.25">
      <c r="B4" s="1" t="s">
        <v>6</v>
      </c>
      <c r="C4" s="1" t="s">
        <v>68</v>
      </c>
      <c r="D4" s="1" t="s">
        <v>69</v>
      </c>
      <c r="E4" s="1"/>
      <c r="F4" s="72" t="s">
        <v>278</v>
      </c>
      <c r="G4" s="73" t="s">
        <v>70</v>
      </c>
      <c r="H4" s="72" t="s">
        <v>69</v>
      </c>
      <c r="I4" s="73" t="s">
        <v>71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1.8704823927863316E-2</v>
      </c>
      <c r="F5">
        <f>C5-$B$1</f>
        <v>4.9196760969389547E-2</v>
      </c>
      <c r="G5" s="35">
        <f t="shared" ref="G5:G40" si="0">(B5+$G$42*C5-$G$42*$B$1)-$B$1</f>
        <v>1.3691967609693897E-2</v>
      </c>
      <c r="H5">
        <f t="shared" ref="H5:H40" si="1">D5-$B$1</f>
        <v>1.6704823927863315E-2</v>
      </c>
      <c r="I5" s="35">
        <f t="shared" ref="I5:I40" si="2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-1.8534583301969706E-2</v>
      </c>
      <c r="D6">
        <v>0.10698279482346687</v>
      </c>
      <c r="F6">
        <f t="shared" ref="F6:F40" si="3">C6-$B$1</f>
        <v>-2.0534583301969708E-2</v>
      </c>
      <c r="G6" s="35">
        <f t="shared" si="0"/>
        <v>5.3294654166980301E-2</v>
      </c>
      <c r="H6">
        <f t="shared" si="1"/>
        <v>0.10498279482346687</v>
      </c>
      <c r="I6" s="35">
        <f t="shared" si="2"/>
        <v>5.3499999999999999E-2</v>
      </c>
      <c r="J6" s="35"/>
    </row>
    <row r="7" spans="1:17">
      <c r="A7" s="50">
        <v>43553</v>
      </c>
      <c r="B7">
        <v>3.2799999999999996E-2</v>
      </c>
      <c r="C7">
        <v>6.6056911368824883E-2</v>
      </c>
      <c r="D7">
        <v>-3.3954606240418413E-2</v>
      </c>
      <c r="F7">
        <f t="shared" si="3"/>
        <v>6.4056911368824881E-2</v>
      </c>
      <c r="G7" s="35">
        <f t="shared" si="0"/>
        <v>3.1440569113688241E-2</v>
      </c>
      <c r="H7">
        <f t="shared" si="1"/>
        <v>-3.5954606240418414E-2</v>
      </c>
      <c r="I7" s="35">
        <f t="shared" si="2"/>
        <v>3.0799999999999994E-2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-1.1678636200749188E-3</v>
      </c>
      <c r="F8">
        <f t="shared" si="3"/>
        <v>-6.4079311700027564E-2</v>
      </c>
      <c r="G8" s="35">
        <f t="shared" si="0"/>
        <v>3.2559206882999722E-2</v>
      </c>
      <c r="H8">
        <f t="shared" si="1"/>
        <v>-3.1678636200749189E-3</v>
      </c>
      <c r="I8" s="35">
        <f t="shared" si="2"/>
        <v>3.32E-2</v>
      </c>
      <c r="J8" s="35"/>
    </row>
    <row r="9" spans="1:17">
      <c r="A9" s="50">
        <v>43616</v>
      </c>
      <c r="B9">
        <v>-1.46E-2</v>
      </c>
      <c r="C9">
        <v>2.6402093700691416E-2</v>
      </c>
      <c r="D9">
        <v>1.9249729553652561E-2</v>
      </c>
      <c r="F9">
        <f t="shared" si="3"/>
        <v>2.4402093700691414E-2</v>
      </c>
      <c r="G9" s="35">
        <f t="shared" si="0"/>
        <v>-1.6355979062993083E-2</v>
      </c>
      <c r="H9">
        <f t="shared" si="1"/>
        <v>1.724972955365256E-2</v>
      </c>
      <c r="I9" s="35">
        <f t="shared" si="2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3"/>
        <v>5.5301831223946725E-2</v>
      </c>
      <c r="G10" s="35">
        <f t="shared" si="0"/>
        <v>-1.7246981687760534E-2</v>
      </c>
      <c r="H10">
        <f t="shared" si="1"/>
        <v>-2.3089017191669753E-2</v>
      </c>
      <c r="I10" s="35">
        <f t="shared" si="2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3"/>
        <v>9.1312521164593652E-2</v>
      </c>
      <c r="G11" s="35">
        <f t="shared" si="0"/>
        <v>-4.2986874788354071E-2</v>
      </c>
      <c r="H11">
        <f t="shared" si="1"/>
        <v>-9.7751164920180975E-2</v>
      </c>
      <c r="I11" s="35">
        <f t="shared" si="2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3"/>
        <v>-5.4590827815591832E-2</v>
      </c>
      <c r="G12" s="35">
        <f t="shared" si="0"/>
        <v>-8.5445908278155916E-2</v>
      </c>
      <c r="H12">
        <f t="shared" si="1"/>
        <v>-7.9752797528105129E-2</v>
      </c>
      <c r="I12" s="35">
        <f t="shared" si="2"/>
        <v>-8.4899999999999989E-2</v>
      </c>
      <c r="J12" s="35"/>
    </row>
    <row r="13" spans="1:17">
      <c r="A13" s="50">
        <v>43738</v>
      </c>
      <c r="B13">
        <v>-0.11470000000000001</v>
      </c>
      <c r="C13">
        <v>7.9606518422525682E-2</v>
      </c>
      <c r="D13">
        <v>-5.610670469189348E-2</v>
      </c>
      <c r="F13">
        <f t="shared" si="3"/>
        <v>7.760651842252568E-2</v>
      </c>
      <c r="G13" s="35">
        <f t="shared" si="0"/>
        <v>-0.11592393481577476</v>
      </c>
      <c r="H13">
        <f t="shared" si="1"/>
        <v>-5.8106704691893482E-2</v>
      </c>
      <c r="I13" s="35">
        <f t="shared" si="2"/>
        <v>-0.11670000000000001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0.13221213408241575</v>
      </c>
      <c r="F14">
        <f t="shared" si="3"/>
        <v>-0.1482163753778854</v>
      </c>
      <c r="G14" s="35">
        <f t="shared" si="0"/>
        <v>0.15021783624622115</v>
      </c>
      <c r="H14">
        <f t="shared" si="1"/>
        <v>0.13021213408241575</v>
      </c>
      <c r="I14" s="35">
        <f t="shared" si="2"/>
        <v>0.1517</v>
      </c>
      <c r="J14" s="35"/>
    </row>
    <row r="15" spans="1:17">
      <c r="A15" s="50">
        <v>43798</v>
      </c>
      <c r="B15">
        <v>-1.5999999999999999E-3</v>
      </c>
      <c r="C15">
        <v>-6.3942893123956727E-4</v>
      </c>
      <c r="D15">
        <v>-5.9227214878286798E-2</v>
      </c>
      <c r="F15">
        <f t="shared" si="3"/>
        <v>-2.6394289312395673E-3</v>
      </c>
      <c r="G15" s="35">
        <f t="shared" si="0"/>
        <v>-3.6263942893123959E-3</v>
      </c>
      <c r="H15">
        <f t="shared" si="1"/>
        <v>-6.1227214878286799E-2</v>
      </c>
      <c r="I15" s="35">
        <f t="shared" si="2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2.7913699134961792E-2</v>
      </c>
      <c r="F16">
        <f t="shared" si="3"/>
        <v>-8.8063815185508848E-3</v>
      </c>
      <c r="G16" s="35">
        <f t="shared" si="0"/>
        <v>-2.9880638151855085E-3</v>
      </c>
      <c r="H16">
        <f t="shared" si="1"/>
        <v>2.591369913496179E-2</v>
      </c>
      <c r="I16" s="35">
        <f t="shared" si="2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3"/>
        <v>-2.2432993626379551E-2</v>
      </c>
      <c r="G17" s="35">
        <f t="shared" si="0"/>
        <v>6.0675670063736198E-2</v>
      </c>
      <c r="H17">
        <f t="shared" si="1"/>
        <v>1.983155158224275E-2</v>
      </c>
      <c r="I17" s="35">
        <f t="shared" si="2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3"/>
        <v>-9.5962398169526689E-2</v>
      </c>
      <c r="G18" s="35">
        <f t="shared" si="0"/>
        <v>3.6840376018304734E-2</v>
      </c>
      <c r="H18">
        <f t="shared" si="1"/>
        <v>-2.1447274323001031E-2</v>
      </c>
      <c r="I18" s="35">
        <f t="shared" si="2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-3.8033389976830624E-2</v>
      </c>
      <c r="F19">
        <f t="shared" si="3"/>
        <v>-6.309594638707788E-3</v>
      </c>
      <c r="G19" s="35">
        <f t="shared" si="0"/>
        <v>1.2236904053612923E-2</v>
      </c>
      <c r="H19">
        <f t="shared" si="1"/>
        <v>-4.0033389976830626E-2</v>
      </c>
      <c r="I19" s="35">
        <f t="shared" si="2"/>
        <v>1.23E-2</v>
      </c>
      <c r="J19" s="35"/>
    </row>
    <row r="20" spans="1:10">
      <c r="A20" s="50">
        <v>43951</v>
      </c>
      <c r="B20">
        <v>-1.0700000000000001E-2</v>
      </c>
      <c r="C20">
        <v>2.9630755722701477E-2</v>
      </c>
      <c r="D20">
        <v>-1.0206910984366029E-2</v>
      </c>
      <c r="F20">
        <f t="shared" si="3"/>
        <v>2.7630755722701475E-2</v>
      </c>
      <c r="G20" s="35">
        <f t="shared" si="0"/>
        <v>-1.2423692442772985E-2</v>
      </c>
      <c r="H20">
        <f t="shared" si="1"/>
        <v>-1.2206910984366029E-2</v>
      </c>
      <c r="I20" s="35">
        <f t="shared" si="2"/>
        <v>-1.2700000000000001E-2</v>
      </c>
      <c r="J20" s="35"/>
    </row>
    <row r="21" spans="1:10">
      <c r="A21" s="50">
        <v>43980</v>
      </c>
      <c r="B21">
        <v>-6.8699999999999997E-2</v>
      </c>
      <c r="C21">
        <v>1.5673097906819096E-2</v>
      </c>
      <c r="D21">
        <v>-2.4613316173693882E-2</v>
      </c>
      <c r="F21">
        <f t="shared" si="3"/>
        <v>1.3673097906819096E-2</v>
      </c>
      <c r="G21" s="35">
        <f t="shared" si="0"/>
        <v>-7.056326902093181E-2</v>
      </c>
      <c r="H21">
        <f t="shared" si="1"/>
        <v>-2.6613316173693884E-2</v>
      </c>
      <c r="I21" s="35">
        <f t="shared" si="2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3"/>
        <v>-6.4907204379016592E-2</v>
      </c>
      <c r="G22" s="35">
        <f t="shared" si="0"/>
        <v>3.2450927956209831E-2</v>
      </c>
      <c r="H22">
        <f t="shared" si="1"/>
        <v>3.0889654458320467E-2</v>
      </c>
      <c r="I22" s="35">
        <f t="shared" si="2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0.11076292131236994</v>
      </c>
      <c r="D23">
        <v>2.1476448542318352E-2</v>
      </c>
      <c r="F23">
        <f t="shared" si="3"/>
        <v>0.10876292131236993</v>
      </c>
      <c r="G23" s="35">
        <f t="shared" si="0"/>
        <v>-9.4123707868763E-3</v>
      </c>
      <c r="H23">
        <f t="shared" si="1"/>
        <v>1.947644854231835E-2</v>
      </c>
      <c r="I23" s="35">
        <f t="shared" si="2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-1.1526909337533553E-2</v>
      </c>
      <c r="F24">
        <f t="shared" si="3"/>
        <v>8.8532208511010721E-2</v>
      </c>
      <c r="G24" s="35">
        <f t="shared" si="0"/>
        <v>4.0385322085110108E-2</v>
      </c>
      <c r="H24">
        <f t="shared" si="1"/>
        <v>-1.3526909337533553E-2</v>
      </c>
      <c r="I24" s="35">
        <f t="shared" si="2"/>
        <v>3.95E-2</v>
      </c>
      <c r="J24" s="35"/>
    </row>
    <row r="25" spans="1:10">
      <c r="A25" s="50">
        <v>44104</v>
      </c>
      <c r="B25">
        <v>2.7000000000000003E-2</v>
      </c>
      <c r="C25">
        <v>-5.4887557113902649E-3</v>
      </c>
      <c r="D25">
        <v>-0.11421858300399169</v>
      </c>
      <c r="F25">
        <f t="shared" si="3"/>
        <v>-7.488755711390265E-3</v>
      </c>
      <c r="G25" s="35">
        <f t="shared" si="0"/>
        <v>2.4925112442886102E-2</v>
      </c>
      <c r="H25">
        <f t="shared" si="1"/>
        <v>-0.1162185830039917</v>
      </c>
      <c r="I25" s="35">
        <f t="shared" si="2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3"/>
        <v>7.5859339315323016E-2</v>
      </c>
      <c r="G26" s="35">
        <f t="shared" si="0"/>
        <v>-9.641406606846769E-3</v>
      </c>
      <c r="H26">
        <f t="shared" si="1"/>
        <v>6.3437056697206298E-2</v>
      </c>
      <c r="I26" s="35">
        <f t="shared" si="2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3"/>
        <v>-5.5631400774580592E-2</v>
      </c>
      <c r="G27" s="35">
        <f t="shared" si="0"/>
        <v>1.9943685992254191E-2</v>
      </c>
      <c r="H27">
        <f t="shared" si="1"/>
        <v>4.7037835806613085E-3</v>
      </c>
      <c r="I27" s="35">
        <f t="shared" si="2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-0.11154005527489702</v>
      </c>
      <c r="D28">
        <v>-3.6447544106262331E-2</v>
      </c>
      <c r="F28">
        <f t="shared" si="3"/>
        <v>-0.11354005527489702</v>
      </c>
      <c r="G28" s="35">
        <f t="shared" si="0"/>
        <v>2.6464599447251033E-2</v>
      </c>
      <c r="H28">
        <f t="shared" si="1"/>
        <v>-3.8447544106262332E-2</v>
      </c>
      <c r="I28" s="35">
        <f t="shared" si="2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3"/>
        <v>-6.0750751146949902E-2</v>
      </c>
      <c r="G29" s="35">
        <f t="shared" si="0"/>
        <v>6.3692492488530497E-2</v>
      </c>
      <c r="H29">
        <f t="shared" si="1"/>
        <v>5.6871957536920752E-2</v>
      </c>
      <c r="I29" s="35">
        <f t="shared" si="2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-2.7800965884031914E-2</v>
      </c>
      <c r="F30">
        <f t="shared" si="3"/>
        <v>0.1069115100229759</v>
      </c>
      <c r="G30" s="35">
        <f t="shared" si="0"/>
        <v>1.156911510022976E-2</v>
      </c>
      <c r="H30">
        <f t="shared" si="1"/>
        <v>-2.9800965884031916E-2</v>
      </c>
      <c r="I30" s="35">
        <f t="shared" si="2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3"/>
        <v>2.4026018344589589E-2</v>
      </c>
      <c r="G31" s="35">
        <f t="shared" si="0"/>
        <v>4.6540260183445897E-2</v>
      </c>
      <c r="H31">
        <f t="shared" si="1"/>
        <v>4.7417550650258801E-2</v>
      </c>
      <c r="I31" s="35">
        <f t="shared" si="2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5.3976091913917395E-3</v>
      </c>
      <c r="F32">
        <f t="shared" si="3"/>
        <v>-6.1647771191371645E-2</v>
      </c>
      <c r="G32" s="35">
        <f t="shared" si="0"/>
        <v>-8.6164777119137163E-3</v>
      </c>
      <c r="H32">
        <f t="shared" si="1"/>
        <v>3.3976091913917395E-3</v>
      </c>
      <c r="I32" s="35">
        <f t="shared" si="2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-2.7641204976468978E-2</v>
      </c>
      <c r="D33">
        <v>6.6361406828330236E-2</v>
      </c>
      <c r="F33">
        <f t="shared" si="3"/>
        <v>-2.9641204976468979E-2</v>
      </c>
      <c r="G33" s="35">
        <f t="shared" si="0"/>
        <v>4.2803587950235311E-2</v>
      </c>
      <c r="H33">
        <f t="shared" si="1"/>
        <v>6.4361406828330234E-2</v>
      </c>
      <c r="I33" s="35">
        <f t="shared" si="2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1.0342565571561133E-2</v>
      </c>
      <c r="F34">
        <f t="shared" si="3"/>
        <v>8.6427907953730912E-2</v>
      </c>
      <c r="G34" s="35">
        <f t="shared" si="0"/>
        <v>-9.5357209204626897E-3</v>
      </c>
      <c r="H34">
        <f t="shared" si="1"/>
        <v>8.3425655715611332E-3</v>
      </c>
      <c r="I34" s="35">
        <f t="shared" si="2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-1.5598696590209222E-2</v>
      </c>
      <c r="D35">
        <v>0.15185543013987904</v>
      </c>
      <c r="F35">
        <f t="shared" si="3"/>
        <v>-1.7598696590209222E-2</v>
      </c>
      <c r="G35" s="35">
        <f t="shared" si="0"/>
        <v>7.2824013034097898E-2</v>
      </c>
      <c r="H35">
        <f t="shared" si="1"/>
        <v>0.14985543013987904</v>
      </c>
      <c r="I35" s="35">
        <f t="shared" si="2"/>
        <v>7.2999999999999995E-2</v>
      </c>
      <c r="J35" s="35"/>
      <c r="M35" s="1"/>
      <c r="N35" s="1"/>
    </row>
    <row r="36" spans="1:16">
      <c r="A36" s="50">
        <v>44439</v>
      </c>
      <c r="B36">
        <v>-2.7700000000000002E-2</v>
      </c>
      <c r="C36">
        <v>6.791870983756082E-2</v>
      </c>
      <c r="D36">
        <v>6.2580450442190341E-3</v>
      </c>
      <c r="F36">
        <f t="shared" si="3"/>
        <v>6.5918709837560818E-2</v>
      </c>
      <c r="G36" s="35">
        <f t="shared" si="0"/>
        <v>-2.9040812901624392E-2</v>
      </c>
      <c r="H36">
        <f t="shared" si="1"/>
        <v>4.258045044219034E-3</v>
      </c>
      <c r="I36" s="35">
        <f t="shared" si="2"/>
        <v>-2.9700000000000004E-2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0.11385609000827301</v>
      </c>
      <c r="F37">
        <f t="shared" si="3"/>
        <v>-3.8820011553113952E-2</v>
      </c>
      <c r="G37" s="35">
        <f t="shared" si="0"/>
        <v>5.4011799884468858E-2</v>
      </c>
      <c r="H37">
        <f t="shared" si="1"/>
        <v>0.11185609000827301</v>
      </c>
      <c r="I37" s="35">
        <f t="shared" si="2"/>
        <v>5.4399999999999997E-2</v>
      </c>
      <c r="J37" s="35"/>
      <c r="M37" s="1"/>
      <c r="N37" s="1"/>
    </row>
    <row r="38" spans="1:16">
      <c r="A38" s="50">
        <v>44498</v>
      </c>
      <c r="B38">
        <v>3.7000000000000005E-2</v>
      </c>
      <c r="C38">
        <v>-2.2150915650574393E-2</v>
      </c>
      <c r="D38">
        <v>2.5242753909800915E-2</v>
      </c>
      <c r="F38">
        <f t="shared" si="3"/>
        <v>-2.4150915650574395E-2</v>
      </c>
      <c r="G38" s="35">
        <f t="shared" si="0"/>
        <v>3.4758490843494264E-2</v>
      </c>
      <c r="H38">
        <f t="shared" si="1"/>
        <v>2.3242753909800913E-2</v>
      </c>
      <c r="I38" s="35">
        <f t="shared" si="2"/>
        <v>3.5000000000000003E-2</v>
      </c>
      <c r="J38" s="35"/>
      <c r="M38" s="1"/>
      <c r="N38" s="1"/>
    </row>
    <row r="39" spans="1:16">
      <c r="A39" s="50">
        <v>44530</v>
      </c>
      <c r="B39">
        <v>3.4100000000000005E-2</v>
      </c>
      <c r="C39">
        <v>3.6070988476215531E-2</v>
      </c>
      <c r="D39">
        <v>-4.3317658456216719E-2</v>
      </c>
      <c r="F39">
        <f t="shared" si="3"/>
        <v>3.4070988476215529E-2</v>
      </c>
      <c r="G39" s="35">
        <f t="shared" si="0"/>
        <v>3.2440709884762157E-2</v>
      </c>
      <c r="H39">
        <f t="shared" si="1"/>
        <v>-4.5317658456216721E-2</v>
      </c>
      <c r="I39" s="35">
        <f t="shared" si="2"/>
        <v>3.2100000000000004E-2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3"/>
        <v>-9.8361876804817505E-2</v>
      </c>
      <c r="G40" s="35">
        <f t="shared" si="0"/>
        <v>2.5116381231951826E-2</v>
      </c>
      <c r="H40">
        <f t="shared" si="1"/>
        <v>-7.6850394935910468E-3</v>
      </c>
      <c r="I40" s="35">
        <f t="shared" si="2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6</v>
      </c>
      <c r="C42" s="48" t="s">
        <v>68</v>
      </c>
      <c r="D42" s="48" t="s">
        <v>69</v>
      </c>
      <c r="E42" s="1"/>
      <c r="F42" s="47" t="s">
        <v>126</v>
      </c>
      <c r="G42" s="52">
        <v>0.01</v>
      </c>
      <c r="H42" s="47" t="s">
        <v>126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0</v>
      </c>
      <c r="B43" s="19">
        <f>AVERAGE(B5:B40)</f>
        <v>1.5474999999999997E-2</v>
      </c>
      <c r="C43" s="19">
        <f>AVERAGE(C5:C40)</f>
        <v>1.9327654199999961E-3</v>
      </c>
      <c r="D43" s="19">
        <f>AVERAGE(D5:D40)</f>
        <v>7.3516145681554413E-3</v>
      </c>
      <c r="E43" s="35"/>
      <c r="F43" s="3" t="s">
        <v>275</v>
      </c>
      <c r="G43" s="19">
        <f>AVERAGE(G5:G40)</f>
        <v>1.3474327654199999E-2</v>
      </c>
      <c r="H43" s="3" t="s">
        <v>275</v>
      </c>
      <c r="I43" s="19">
        <f>AVERAGE(I5:I40)</f>
        <v>1.3474999999999996E-2</v>
      </c>
      <c r="J43" s="6"/>
      <c r="M43" s="6"/>
      <c r="O43" s="1"/>
      <c r="P43" s="6"/>
    </row>
    <row r="44" spans="1:16">
      <c r="A44" s="63" t="s">
        <v>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5.8964582217036071E-2</v>
      </c>
      <c r="E44" s="35"/>
      <c r="F44" s="184" t="s">
        <v>1</v>
      </c>
      <c r="G44" s="19">
        <f>STDEVP(G5:G40)</f>
        <v>4.6991803899569362E-2</v>
      </c>
      <c r="H44" s="3" t="s">
        <v>122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74</v>
      </c>
      <c r="B45" s="177">
        <f>(B43-B1)/B44</f>
        <v>0.28480550005027228</v>
      </c>
      <c r="C45" s="178">
        <f>(C43-$B$1)/C44</f>
        <v>-1.0216746841716241E-3</v>
      </c>
      <c r="D45" s="79">
        <f>(D43-$B$1)/D44</f>
        <v>9.0759814908164496E-2</v>
      </c>
      <c r="E45" s="6"/>
      <c r="F45" s="47" t="s">
        <v>74</v>
      </c>
      <c r="G45" s="179">
        <f>(G43)/G44</f>
        <v>0.28673782523857272</v>
      </c>
      <c r="H45" s="47" t="s">
        <v>74</v>
      </c>
      <c r="I45" s="179">
        <f>(I43)/I44</f>
        <v>0.28480550005027222</v>
      </c>
      <c r="K45" s="1"/>
      <c r="L45" s="5"/>
      <c r="M45" s="5"/>
      <c r="N45" s="5"/>
      <c r="O45" s="1"/>
      <c r="P45" s="6"/>
    </row>
    <row r="46" spans="1:16">
      <c r="E46" s="6"/>
      <c r="F46" s="75" t="s">
        <v>276</v>
      </c>
      <c r="G46" s="64">
        <f>INTERCEPT(F5:F40,G5:G40)</f>
        <v>9.0417546984485446E-3</v>
      </c>
      <c r="H46" s="74" t="s">
        <v>276</v>
      </c>
      <c r="I46" s="64">
        <f>INTERCEPT(H5:H40,I5:I40)</f>
        <v>-4.9896274237008825E-3</v>
      </c>
      <c r="J46" s="32"/>
      <c r="M46" s="6"/>
      <c r="O46" s="1"/>
      <c r="P46" s="35"/>
    </row>
    <row r="47" spans="1:16">
      <c r="F47" s="180" t="s">
        <v>277</v>
      </c>
      <c r="G47" s="181">
        <f>SLOPE(F5:F40,G5:G40)</f>
        <v>-0.67602551401585098</v>
      </c>
      <c r="H47" s="182" t="s">
        <v>277</v>
      </c>
      <c r="I47" s="183">
        <f>SLOPE(H5:H40,I5:I40)</f>
        <v>0.76743910885761224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2:D2"/>
    <mergeCell ref="B3:D3"/>
    <mergeCell ref="F1:I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4089-42B8-4D07-BDDE-25C27566E69A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8" t="s">
        <v>75</v>
      </c>
      <c r="C1" s="198"/>
      <c r="D1" s="198"/>
    </row>
    <row r="2" spans="1:10">
      <c r="B2" s="1" t="s">
        <v>76</v>
      </c>
      <c r="C2" s="1" t="s">
        <v>77</v>
      </c>
      <c r="D2" s="1" t="s">
        <v>78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79</v>
      </c>
      <c r="C5" s="198"/>
      <c r="D5" s="198"/>
    </row>
    <row r="6" spans="1:10">
      <c r="F6" s="198"/>
      <c r="G6" s="198"/>
      <c r="H6" s="198"/>
    </row>
    <row r="7" spans="1:10">
      <c r="B7" s="1" t="s">
        <v>76</v>
      </c>
      <c r="C7" s="1" t="s">
        <v>77</v>
      </c>
      <c r="D7" s="1" t="s">
        <v>78</v>
      </c>
      <c r="F7" s="1"/>
      <c r="G7" s="1"/>
      <c r="H7" s="1"/>
    </row>
    <row r="8" spans="1:10">
      <c r="A8" s="1" t="s">
        <v>76</v>
      </c>
      <c r="B8">
        <v>2.5600000000000001E-2</v>
      </c>
      <c r="C8">
        <v>1.2800000000000001E-2</v>
      </c>
      <c r="D8">
        <v>-1.1040000000000001E-2</v>
      </c>
    </row>
    <row r="9" spans="1:10">
      <c r="A9" s="1" t="s">
        <v>77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78</v>
      </c>
      <c r="B10">
        <v>-1.1040000000000001E-2</v>
      </c>
      <c r="C10">
        <v>-8.9999999999999993E-3</v>
      </c>
      <c r="D10">
        <v>0.09</v>
      </c>
    </row>
    <row r="13" spans="1:10">
      <c r="B13" s="198" t="s">
        <v>80</v>
      </c>
      <c r="C13" s="198"/>
      <c r="D13" s="198"/>
      <c r="H13" s="198" t="s">
        <v>81</v>
      </c>
      <c r="I13" s="198"/>
      <c r="J13" s="198"/>
    </row>
    <row r="14" spans="1:10">
      <c r="B14" s="197" t="s">
        <v>82</v>
      </c>
      <c r="C14" s="197"/>
      <c r="D14" s="197"/>
      <c r="H14" s="197" t="s">
        <v>82</v>
      </c>
      <c r="I14" s="197"/>
      <c r="J14" s="197"/>
    </row>
    <row r="15" spans="1:10">
      <c r="B15" s="1" t="s">
        <v>76</v>
      </c>
      <c r="C15" s="1" t="s">
        <v>77</v>
      </c>
      <c r="D15" s="1" t="s">
        <v>78</v>
      </c>
      <c r="F15" s="1"/>
      <c r="H15" s="1" t="s">
        <v>76</v>
      </c>
      <c r="I15" s="1" t="s">
        <v>77</v>
      </c>
      <c r="J15" s="1" t="s">
        <v>78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0.32605675075148893</v>
      </c>
      <c r="I16">
        <v>0.54616928765323192</v>
      </c>
      <c r="J16">
        <f>1-SUM(H16:I16)</f>
        <v>0.1277739615952791</v>
      </c>
    </row>
    <row r="18" spans="1:11">
      <c r="B18" t="s">
        <v>83</v>
      </c>
      <c r="C18" t="s">
        <v>84</v>
      </c>
      <c r="D18" t="s">
        <v>0</v>
      </c>
      <c r="E18" t="s">
        <v>73</v>
      </c>
      <c r="H18" t="s">
        <v>83</v>
      </c>
      <c r="I18" t="s">
        <v>84</v>
      </c>
      <c r="J18" t="s">
        <v>0</v>
      </c>
      <c r="K18" t="s">
        <v>73</v>
      </c>
    </row>
    <row r="19" spans="1:11">
      <c r="A19" t="s">
        <v>85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85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86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86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87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87</v>
      </c>
      <c r="H21">
        <f>SUMPRODUCT($H$16:$J$16,B10:D10)</f>
        <v>2.9844664263995926E-3</v>
      </c>
      <c r="I21">
        <f>H21/$H$23</f>
        <v>0.16127133885895328</v>
      </c>
      <c r="J21">
        <f>D21</f>
        <v>0.04</v>
      </c>
      <c r="K21" s="46">
        <f>J21-(0.01+I21*($H$24-0.01))</f>
        <v>-2.5662487983246773E-7</v>
      </c>
    </row>
    <row r="23" spans="1:11">
      <c r="A23" t="s">
        <v>88</v>
      </c>
      <c r="B23">
        <f>SUMPRODUCT(MMULT(B16:D16,B8:D10),B16:D16)</f>
        <v>1.4152000000000001E-2</v>
      </c>
      <c r="G23" t="s">
        <v>88</v>
      </c>
      <c r="H23">
        <f>SUMPRODUCT(MMULT(H16:J16,B8:D10),H16:J16)</f>
        <v>1.8505869967445267E-2</v>
      </c>
    </row>
    <row r="24" spans="1:11">
      <c r="A24" t="s">
        <v>89</v>
      </c>
      <c r="B24">
        <f>SUMPRODUCT(B16:D16,B3:D3)</f>
        <v>0.161</v>
      </c>
      <c r="G24" t="s">
        <v>89</v>
      </c>
      <c r="H24">
        <f>SUMPRODUCT(H16:J16,B3:D3)</f>
        <v>0.1960234858663748</v>
      </c>
    </row>
    <row r="25" spans="1:11">
      <c r="A25" t="s">
        <v>74</v>
      </c>
      <c r="B25">
        <f>(B24-0.01)/SQRT(B23)</f>
        <v>1.2693109813750256</v>
      </c>
      <c r="G25" t="s">
        <v>74</v>
      </c>
      <c r="H25">
        <f>(H24-0.01)/SQRT(H23)</f>
        <v>1.3674549421487867</v>
      </c>
    </row>
    <row r="26" spans="1:11">
      <c r="B26" s="1"/>
    </row>
  </sheetData>
  <mergeCells count="7">
    <mergeCell ref="B14:D14"/>
    <mergeCell ref="H14:J14"/>
    <mergeCell ref="B1:D1"/>
    <mergeCell ref="B5:D5"/>
    <mergeCell ref="F6:H6"/>
    <mergeCell ref="B13:D13"/>
    <mergeCell ref="H13:J1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8811D-2D3F-40F8-BEC8-472F582BD625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284</v>
      </c>
      <c r="G2" s="198" t="s">
        <v>129</v>
      </c>
      <c r="H2" s="198"/>
      <c r="I2" s="198"/>
    </row>
    <row r="3" spans="1:16">
      <c r="E3" s="4">
        <v>1.0000000000000001E-5</v>
      </c>
      <c r="H3" s="1" t="s">
        <v>286</v>
      </c>
      <c r="I3" s="1" t="s">
        <v>130</v>
      </c>
      <c r="L3" t="s">
        <v>287</v>
      </c>
    </row>
    <row r="4" spans="1:16">
      <c r="B4" s="198" t="s">
        <v>178</v>
      </c>
      <c r="C4" s="198"/>
      <c r="E4" s="1" t="s">
        <v>285</v>
      </c>
      <c r="G4" s="1" t="s">
        <v>280</v>
      </c>
      <c r="H4" s="1" t="s">
        <v>6</v>
      </c>
      <c r="I4" s="1" t="s">
        <v>6</v>
      </c>
      <c r="K4" s="1" t="s">
        <v>131</v>
      </c>
      <c r="L4" s="1" t="s">
        <v>131</v>
      </c>
      <c r="N4" s="1" t="s">
        <v>942</v>
      </c>
    </row>
    <row r="5" spans="1:16">
      <c r="A5" s="1" t="s">
        <v>108</v>
      </c>
      <c r="B5" s="1" t="s">
        <v>280</v>
      </c>
      <c r="C5" s="1" t="s">
        <v>6</v>
      </c>
      <c r="E5" s="1" t="s">
        <v>6</v>
      </c>
      <c r="G5">
        <f>STDEVP(B6:B65)</f>
        <v>0.99754663685653822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-5.6884883629820582E-2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-0.15636389889550628</v>
      </c>
      <c r="C7">
        <v>-0.1133300884248456</v>
      </c>
      <c r="E7">
        <f t="shared" si="0"/>
        <v>-0.11333165206383455</v>
      </c>
      <c r="G7" t="s">
        <v>72</v>
      </c>
      <c r="H7">
        <f>SLOPE(B6:B65,C6:C65)</f>
        <v>-0.64271801012536012</v>
      </c>
    </row>
    <row r="8" spans="1:16">
      <c r="A8" s="50">
        <v>42825</v>
      </c>
      <c r="B8">
        <v>-7.5200978244538419E-2</v>
      </c>
      <c r="C8">
        <v>-0.19781327864620835</v>
      </c>
      <c r="E8">
        <f t="shared" si="0"/>
        <v>-0.19781403065599079</v>
      </c>
    </row>
    <row r="9" spans="1:16">
      <c r="A9" s="50">
        <v>42853</v>
      </c>
      <c r="B9">
        <v>1.1195431625310448</v>
      </c>
      <c r="C9">
        <v>-1.5061914382386021E-2</v>
      </c>
      <c r="E9">
        <f t="shared" si="0"/>
        <v>-1.5050718950760711E-2</v>
      </c>
    </row>
    <row r="10" spans="1:16">
      <c r="A10" s="50">
        <v>42886</v>
      </c>
      <c r="B10">
        <v>1.9648944544314872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-0.10261555871693417</v>
      </c>
      <c r="E12">
        <f t="shared" si="0"/>
        <v>-0.10261192927055163</v>
      </c>
    </row>
    <row r="13" spans="1:16">
      <c r="A13" s="50">
        <v>42978</v>
      </c>
      <c r="B13">
        <v>-1.9555474864318967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-0.13917224350734614</v>
      </c>
      <c r="E14">
        <f t="shared" si="0"/>
        <v>-0.13917839117812036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1.6282438423331769</v>
      </c>
      <c r="C16">
        <v>1.6634544408589136E-2</v>
      </c>
      <c r="E16">
        <f t="shared" si="0"/>
        <v>1.6650826847012468E-2</v>
      </c>
    </row>
    <row r="17" spans="1:5">
      <c r="A17" s="50">
        <v>43098</v>
      </c>
      <c r="B17">
        <v>-0.6659646714979317</v>
      </c>
      <c r="C17">
        <v>-0.15514569895458408</v>
      </c>
      <c r="E17">
        <f t="shared" si="0"/>
        <v>-0.15515235860129906</v>
      </c>
    </row>
    <row r="18" spans="1:5">
      <c r="A18" s="50">
        <v>43131</v>
      </c>
      <c r="B18">
        <v>-0.19803428585873917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1.6985890852083685</v>
      </c>
      <c r="C19">
        <v>-0.13488852346199565</v>
      </c>
      <c r="E19">
        <f t="shared" si="0"/>
        <v>-0.13487153757114356</v>
      </c>
    </row>
    <row r="20" spans="1:5">
      <c r="A20" s="50">
        <v>43188</v>
      </c>
      <c r="B20">
        <v>1.2850508937845007</v>
      </c>
      <c r="C20">
        <v>-2.9743205232080072E-2</v>
      </c>
      <c r="E20">
        <f t="shared" si="0"/>
        <v>-2.9730354723142227E-2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1.0045242561318446</v>
      </c>
      <c r="C22">
        <v>-0.13823137123836204</v>
      </c>
      <c r="E22">
        <f t="shared" si="0"/>
        <v>-0.13822132599580073</v>
      </c>
    </row>
    <row r="23" spans="1:5">
      <c r="A23" s="50">
        <v>43280</v>
      </c>
      <c r="B23">
        <v>-3.5314997148816474E-3</v>
      </c>
      <c r="C23">
        <v>0.12820214578823652</v>
      </c>
      <c r="E23">
        <f t="shared" si="0"/>
        <v>0.12820211047323937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-0.44648263610724825</v>
      </c>
      <c r="C25">
        <v>-0.16536023395019583</v>
      </c>
      <c r="E25">
        <f t="shared" si="0"/>
        <v>-0.16536469877655691</v>
      </c>
    </row>
    <row r="26" spans="1:5">
      <c r="A26" s="50">
        <v>43371</v>
      </c>
      <c r="B26">
        <v>-0.79155529419949744</v>
      </c>
      <c r="C26">
        <v>-0.12905957191833295</v>
      </c>
      <c r="E26">
        <f t="shared" si="0"/>
        <v>-0.12906748747127494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1.2761725656673661</v>
      </c>
      <c r="C28">
        <v>-3.9567794374306686E-2</v>
      </c>
      <c r="E28">
        <f t="shared" si="0"/>
        <v>-3.9555032648650013E-2</v>
      </c>
    </row>
    <row r="29" spans="1:5">
      <c r="A29" s="50">
        <v>43465</v>
      </c>
      <c r="B29">
        <v>0.18843811631086282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-0.10234384717477951</v>
      </c>
      <c r="E31">
        <f t="shared" si="0"/>
        <v>-0.10233559284210969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-2.0432480596355163E-2</v>
      </c>
      <c r="E33">
        <f t="shared" si="0"/>
        <v>-2.0428465827762921E-2</v>
      </c>
    </row>
    <row r="34" spans="1:5">
      <c r="A34" s="50">
        <v>43616</v>
      </c>
      <c r="B34">
        <v>3.1582511155647808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1.9777982288360363</v>
      </c>
      <c r="C35">
        <v>0.14020724847796373</v>
      </c>
      <c r="E35">
        <f t="shared" si="0"/>
        <v>0.14022702646025209</v>
      </c>
    </row>
    <row r="36" spans="1:5">
      <c r="A36" s="50">
        <v>43677</v>
      </c>
      <c r="B36">
        <v>1.1140710057588876</v>
      </c>
      <c r="C36">
        <v>2.4150040189852007E-2</v>
      </c>
      <c r="E36">
        <f t="shared" si="0"/>
        <v>2.4161180899909596E-2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-1.1841369087051135</v>
      </c>
      <c r="C38">
        <v>6.2337676354218274E-2</v>
      </c>
      <c r="E38">
        <f t="shared" ref="E38:E65" si="1">C38+$E$3*B38-$E$3*$A$3</f>
        <v>6.2325834985131223E-2</v>
      </c>
    </row>
    <row r="39" spans="1:5">
      <c r="A39" s="50">
        <v>43769</v>
      </c>
      <c r="B39">
        <v>-0.41750870423129527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3.7778818295919336E-2</v>
      </c>
      <c r="E40">
        <f t="shared" si="1"/>
        <v>3.7766959608461548E-2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0.37702798181271646</v>
      </c>
      <c r="C42">
        <v>-3.4634012990863994E-2</v>
      </c>
      <c r="E42">
        <f t="shared" si="1"/>
        <v>-3.4630242711045867E-2</v>
      </c>
    </row>
    <row r="43" spans="1:5">
      <c r="A43" s="50">
        <v>43889</v>
      </c>
      <c r="B43">
        <v>-0.47663976374678896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0.14300076145445928</v>
      </c>
      <c r="E45">
        <f t="shared" si="1"/>
        <v>0.14298166170829063</v>
      </c>
    </row>
    <row r="46" spans="1:5">
      <c r="A46" s="50">
        <v>43980</v>
      </c>
      <c r="B46">
        <v>0.57333172662765719</v>
      </c>
      <c r="C46">
        <v>0.11136035027448088</v>
      </c>
      <c r="E46">
        <f t="shared" si="1"/>
        <v>0.11136608359174716</v>
      </c>
    </row>
    <row r="47" spans="1:5">
      <c r="A47" s="50">
        <v>44012</v>
      </c>
      <c r="B47">
        <v>0.21710972077926272</v>
      </c>
      <c r="C47">
        <v>-2.5680833459773567E-2</v>
      </c>
      <c r="E47">
        <f t="shared" si="1"/>
        <v>-2.5678662362565774E-2</v>
      </c>
    </row>
    <row r="48" spans="1:5">
      <c r="A48" s="50">
        <v>44043</v>
      </c>
      <c r="B48">
        <v>0.11013089533662423</v>
      </c>
      <c r="C48">
        <v>0.15560635802103207</v>
      </c>
      <c r="E48">
        <f t="shared" si="1"/>
        <v>0.15560745932998543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-1.0019354590440344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1.0334522357879905</v>
      </c>
      <c r="C53">
        <v>0.10787289284053259</v>
      </c>
      <c r="E53">
        <f t="shared" si="1"/>
        <v>0.10788322736289047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-2.8785052563762292E-2</v>
      </c>
      <c r="E55">
        <f t="shared" si="1"/>
        <v>-2.8778803813565901E-2</v>
      </c>
    </row>
    <row r="56" spans="1:5">
      <c r="A56" s="50">
        <v>44286</v>
      </c>
      <c r="B56">
        <v>0.22691842787025962</v>
      </c>
      <c r="C56">
        <v>5.4381871450459585E-2</v>
      </c>
      <c r="E56">
        <f t="shared" si="1"/>
        <v>5.4384140634738287E-2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-1.0473079328221502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-3.8755842979298905E-3</v>
      </c>
      <c r="E60">
        <f t="shared" si="1"/>
        <v>-3.8792194266079605E-3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-0.16627973309368826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1.4405510682991007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1.7037185346144972</v>
      </c>
      <c r="C65">
        <v>2.062024800238085E-2</v>
      </c>
      <c r="E65">
        <f t="shared" si="1"/>
        <v>2.0637285187726995E-2</v>
      </c>
    </row>
  </sheetData>
  <mergeCells count="2">
    <mergeCell ref="B4:C4"/>
    <mergeCell ref="G2:I2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3FB1F-6B42-42B8-9BC5-14FF168E85D4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167</v>
      </c>
      <c r="H1" s="56"/>
    </row>
    <row r="2" spans="2:5004" ht="26.25">
      <c r="B2" s="54" t="s">
        <v>165</v>
      </c>
      <c r="G2" s="48" t="s">
        <v>168</v>
      </c>
      <c r="H2" s="58" t="s">
        <v>169</v>
      </c>
      <c r="M2" t="s">
        <v>989</v>
      </c>
    </row>
    <row r="3" spans="2:5004" ht="26.25">
      <c r="B3" s="54" t="s">
        <v>164</v>
      </c>
      <c r="G3" s="59">
        <v>0.4</v>
      </c>
      <c r="H3" s="60">
        <v>2.5000000000000001E-2</v>
      </c>
      <c r="J3" t="s">
        <v>0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950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951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166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ref="B21:B29" si="1">B20+1</f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163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98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58BD-5387-47C0-83F8-0F68E221D5BC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167</v>
      </c>
      <c r="H1" s="56"/>
    </row>
    <row r="2" spans="2:5004" ht="26.25">
      <c r="B2" s="54" t="s">
        <v>170</v>
      </c>
      <c r="G2" s="57" t="s">
        <v>168</v>
      </c>
      <c r="H2" s="58" t="s">
        <v>169</v>
      </c>
    </row>
    <row r="3" spans="2:5004" ht="26.25">
      <c r="B3" s="54" t="s">
        <v>164</v>
      </c>
      <c r="G3" s="59">
        <v>0.4</v>
      </c>
      <c r="H3" s="60">
        <v>2.5000000000000001E-2</v>
      </c>
      <c r="J3" t="s">
        <v>0</v>
      </c>
      <c r="K3">
        <f>SUMPRODUCT(G3:G8,H3:H8)</f>
        <v>0.11250000000000002</v>
      </c>
    </row>
    <row r="4" spans="2:5004">
      <c r="B4" s="1" t="s">
        <v>162</v>
      </c>
      <c r="C4" s="1" t="s">
        <v>166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6</v>
      </c>
    </row>
    <row r="10" spans="2:5004">
      <c r="B10">
        <v>1</v>
      </c>
      <c r="C10">
        <f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>AVERAGE(E11:GJL11)</f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ref="C12:C29" si="0">AVERAGE(E12:GJL12)</f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ref="B21:B29" si="1">B20+1</f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163</v>
      </c>
      <c r="C31" s="15">
        <f>AVERAGE(C10:C29)</f>
        <v>0.11231850000000135</v>
      </c>
    </row>
    <row r="32" spans="2:5004">
      <c r="B32" t="s">
        <v>98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4A65-C6DD-43D8-A0D4-ED1EA5C7E950}">
  <sheetPr codeName="Sheet19"/>
  <dimension ref="A1:I61"/>
  <sheetViews>
    <sheetView workbookViewId="0">
      <selection activeCell="H11" sqref="H1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108</v>
      </c>
      <c r="B1" s="7" t="s">
        <v>1138</v>
      </c>
      <c r="C1" s="7" t="s">
        <v>1285</v>
      </c>
    </row>
    <row r="2" spans="1:9">
      <c r="A2" s="196">
        <v>43860</v>
      </c>
      <c r="B2">
        <v>5.0843903694797889E-2</v>
      </c>
      <c r="C2">
        <v>1.9800000000000002E-2</v>
      </c>
      <c r="E2" t="s">
        <v>943</v>
      </c>
      <c r="F2" t="s">
        <v>1286</v>
      </c>
      <c r="G2" s="4" t="s">
        <v>10</v>
      </c>
      <c r="H2" t="s">
        <v>944</v>
      </c>
      <c r="I2" t="s">
        <v>945</v>
      </c>
    </row>
    <row r="3" spans="1:9">
      <c r="A3" s="196">
        <v>43890</v>
      </c>
      <c r="B3">
        <v>3.7895950238514511E-2</v>
      </c>
      <c r="C3">
        <v>3.6099999999999903E-2</v>
      </c>
      <c r="D3" s="195"/>
      <c r="E3">
        <f>VARP(B2:B61)</f>
        <v>4.8063692339585552E-3</v>
      </c>
      <c r="F3">
        <f>VARP(C2:C61)</f>
        <v>2.1075625977138917E-3</v>
      </c>
      <c r="G3">
        <f>SLOPE(B2:B61,C2:C61)</f>
        <v>1.0566050102592905</v>
      </c>
      <c r="H3" s="192">
        <f>(G3^2*F3)/E3</f>
        <v>0.4895405631006613</v>
      </c>
      <c r="I3" s="192">
        <f>1-H3</f>
        <v>0.5104594368993387</v>
      </c>
    </row>
    <row r="4" spans="1:9">
      <c r="A4" s="196">
        <v>43919</v>
      </c>
      <c r="B4">
        <v>-3.2152122497598683E-2</v>
      </c>
      <c r="C4">
        <v>2E-3</v>
      </c>
      <c r="D4" s="195"/>
    </row>
    <row r="5" spans="1:9">
      <c r="A5" s="196">
        <v>43950</v>
      </c>
      <c r="B5">
        <v>-7.9307355781586278E-2</v>
      </c>
      <c r="C5">
        <v>1.14E-2</v>
      </c>
      <c r="D5" s="195"/>
    </row>
    <row r="6" spans="1:9">
      <c r="A6" s="196">
        <v>43980</v>
      </c>
      <c r="B6">
        <v>-3.7663882554005039E-2</v>
      </c>
      <c r="C6">
        <v>1.12E-2</v>
      </c>
      <c r="D6" s="195"/>
    </row>
    <row r="7" spans="1:9">
      <c r="A7" s="196">
        <v>44011</v>
      </c>
      <c r="B7">
        <v>8.4383313704003895E-3</v>
      </c>
      <c r="C7">
        <v>8.3999999999999995E-3</v>
      </c>
      <c r="D7" s="195"/>
    </row>
    <row r="8" spans="1:9">
      <c r="A8" s="196">
        <v>44041</v>
      </c>
      <c r="B8">
        <v>-5.7677310033791798E-2</v>
      </c>
      <c r="C8">
        <v>1.9400000000000001E-2</v>
      </c>
      <c r="D8" s="195"/>
    </row>
    <row r="9" spans="1:9">
      <c r="A9" s="196">
        <v>44072</v>
      </c>
      <c r="B9">
        <v>-1.2502893874729915E-3</v>
      </c>
      <c r="C9">
        <v>2.5000000000000001E-3</v>
      </c>
      <c r="D9" s="195"/>
    </row>
    <row r="10" spans="1:9">
      <c r="A10" s="196">
        <v>44103</v>
      </c>
      <c r="B10">
        <v>1.5634894260993029E-2</v>
      </c>
      <c r="C10">
        <v>2.5999999999999999E-2</v>
      </c>
      <c r="D10" s="195"/>
    </row>
    <row r="11" spans="1:9">
      <c r="A11" s="196">
        <v>44133</v>
      </c>
      <c r="B11">
        <v>6.2851017703577816E-2</v>
      </c>
      <c r="C11">
        <v>2.3400000000000001E-2</v>
      </c>
      <c r="D11" s="195"/>
    </row>
    <row r="12" spans="1:9">
      <c r="A12" s="196">
        <v>44164</v>
      </c>
      <c r="B12">
        <v>8.1864131934943022E-3</v>
      </c>
      <c r="C12">
        <v>3.2000000000000001E-2</v>
      </c>
      <c r="D12" s="195"/>
    </row>
    <row r="13" spans="1:9">
      <c r="A13" s="196">
        <v>44194</v>
      </c>
      <c r="B13">
        <v>-2.1634586666526763E-3</v>
      </c>
      <c r="C13">
        <v>1.15E-2</v>
      </c>
      <c r="D13" s="195"/>
    </row>
    <row r="14" spans="1:9">
      <c r="A14" s="196">
        <v>44225</v>
      </c>
      <c r="B14">
        <v>6.7950355972360377E-2</v>
      </c>
      <c r="C14">
        <v>5.6899999999999999E-2</v>
      </c>
      <c r="D14" s="195"/>
    </row>
    <row r="15" spans="1:9">
      <c r="A15" s="196">
        <v>44255</v>
      </c>
      <c r="B15">
        <v>-4.0626472410250108E-2</v>
      </c>
      <c r="C15">
        <v>-3.5400000000000001E-2</v>
      </c>
      <c r="D15" s="195"/>
    </row>
    <row r="16" spans="1:9">
      <c r="A16" s="196">
        <v>44283</v>
      </c>
      <c r="B16">
        <v>-1.5117550893321964E-2</v>
      </c>
      <c r="C16">
        <v>-2.23E-2</v>
      </c>
      <c r="D16" s="195"/>
    </row>
    <row r="17" spans="1:4">
      <c r="A17" s="196">
        <v>44314</v>
      </c>
      <c r="B17">
        <v>-5.6176209421377958E-2</v>
      </c>
      <c r="C17">
        <v>4.3E-3</v>
      </c>
      <c r="D17" s="195"/>
    </row>
    <row r="18" spans="1:4">
      <c r="A18" s="196">
        <v>44344</v>
      </c>
      <c r="B18">
        <v>-1.5911531162417541E-2</v>
      </c>
      <c r="C18">
        <v>2.7900000000000001E-2</v>
      </c>
      <c r="D18" s="195"/>
    </row>
    <row r="19" spans="1:4">
      <c r="A19" s="196">
        <v>44375</v>
      </c>
      <c r="B19">
        <v>-1.0600635052978502E-2</v>
      </c>
      <c r="C19">
        <v>6.1999999999999998E-3</v>
      </c>
      <c r="D19" s="195"/>
    </row>
    <row r="20" spans="1:4">
      <c r="A20" s="196">
        <v>44405</v>
      </c>
      <c r="B20">
        <v>3.8913394252502682E-2</v>
      </c>
      <c r="C20">
        <v>3.3499999999999898E-2</v>
      </c>
      <c r="D20" s="195"/>
    </row>
    <row r="21" spans="1:4">
      <c r="A21" s="196">
        <v>44436</v>
      </c>
      <c r="B21">
        <v>2.3196412840078787E-2</v>
      </c>
      <c r="C21">
        <v>3.5999999999999997E-2</v>
      </c>
      <c r="D21" s="195"/>
    </row>
    <row r="22" spans="1:4">
      <c r="A22" s="196">
        <v>44467</v>
      </c>
      <c r="B22">
        <v>3.1710989315308302E-2</v>
      </c>
      <c r="C22">
        <v>2.0999999999999999E-3</v>
      </c>
      <c r="D22" s="195"/>
    </row>
    <row r="23" spans="1:4">
      <c r="A23" s="196">
        <v>44497</v>
      </c>
      <c r="B23">
        <v>-0.23572147740629887</v>
      </c>
      <c r="C23">
        <v>-7.4899999999999994E-2</v>
      </c>
      <c r="D23" s="195"/>
    </row>
    <row r="24" spans="1:4">
      <c r="A24" s="196">
        <v>44528</v>
      </c>
      <c r="B24">
        <v>8.989623584892964E-2</v>
      </c>
      <c r="C24">
        <v>1.8699999999999901E-2</v>
      </c>
      <c r="D24" s="195"/>
    </row>
    <row r="25" spans="1:4">
      <c r="A25" s="196">
        <v>44558</v>
      </c>
      <c r="B25">
        <v>-8.6153304283064516E-2</v>
      </c>
      <c r="C25">
        <v>-9.3600000000000003E-2</v>
      </c>
      <c r="D25" s="195"/>
    </row>
    <row r="26" spans="1:4">
      <c r="A26" s="196">
        <v>44589</v>
      </c>
      <c r="B26">
        <v>0.18369298535781872</v>
      </c>
      <c r="C26">
        <v>8.6199999999999999E-2</v>
      </c>
      <c r="D26" s="195"/>
    </row>
    <row r="27" spans="1:4">
      <c r="A27" s="196">
        <v>44620</v>
      </c>
      <c r="B27">
        <v>4.0922642823122475E-2</v>
      </c>
      <c r="C27">
        <v>3.5799999999999998E-2</v>
      </c>
      <c r="D27" s="195"/>
    </row>
    <row r="28" spans="1:4">
      <c r="A28" s="196">
        <v>44648</v>
      </c>
      <c r="B28">
        <v>2.2579257390105405E-2</v>
      </c>
      <c r="C28">
        <v>1.29E-2</v>
      </c>
      <c r="D28" s="195"/>
    </row>
    <row r="29" spans="1:4">
      <c r="A29" s="196">
        <v>44679</v>
      </c>
      <c r="B29">
        <v>-6.2542798365952694E-3</v>
      </c>
      <c r="C29">
        <v>4.1699999999999897E-2</v>
      </c>
      <c r="D29" s="195"/>
    </row>
    <row r="30" spans="1:4">
      <c r="A30" s="196">
        <v>44709</v>
      </c>
      <c r="B30">
        <v>-8.5101151780856879E-2</v>
      </c>
      <c r="C30">
        <v>-6.7299999999999999E-2</v>
      </c>
      <c r="D30" s="195"/>
    </row>
    <row r="31" spans="1:4">
      <c r="A31" s="196">
        <v>44740</v>
      </c>
      <c r="B31">
        <v>8.7034053125332092E-2</v>
      </c>
      <c r="C31">
        <v>7.1099999999999997E-2</v>
      </c>
      <c r="D31" s="195"/>
    </row>
    <row r="32" spans="1:4">
      <c r="A32" s="196">
        <v>44770</v>
      </c>
      <c r="B32">
        <v>7.6017440324677707E-2</v>
      </c>
      <c r="C32">
        <v>1.38E-2</v>
      </c>
      <c r="D32" s="195"/>
    </row>
    <row r="33" spans="1:4">
      <c r="A33" s="196">
        <v>44801</v>
      </c>
      <c r="B33">
        <v>-7.6065421717074755E-2</v>
      </c>
      <c r="C33">
        <v>-2.4199999999999999E-2</v>
      </c>
      <c r="D33" s="195"/>
    </row>
    <row r="34" spans="1:4">
      <c r="A34" s="196">
        <v>44832</v>
      </c>
      <c r="B34">
        <v>7.2895892696218753E-2</v>
      </c>
      <c r="C34">
        <v>1.61E-2</v>
      </c>
      <c r="D34" s="195"/>
    </row>
    <row r="35" spans="1:4">
      <c r="A35" s="196">
        <v>44862</v>
      </c>
      <c r="B35">
        <v>-8.0268660519472818E-2</v>
      </c>
      <c r="C35">
        <v>2.2100000000000002E-2</v>
      </c>
      <c r="D35" s="195"/>
    </row>
    <row r="36" spans="1:4">
      <c r="A36" s="196">
        <v>44893</v>
      </c>
      <c r="B36">
        <v>1.8246479147417338E-2</v>
      </c>
      <c r="C36">
        <v>3.9899999999999998E-2</v>
      </c>
      <c r="D36" s="195"/>
    </row>
    <row r="37" spans="1:4">
      <c r="A37" s="196">
        <v>44923</v>
      </c>
      <c r="B37">
        <v>-1.7876956249486859E-3</v>
      </c>
      <c r="C37">
        <v>2.9100000000000001E-2</v>
      </c>
      <c r="D37" s="195"/>
    </row>
    <row r="38" spans="1:4">
      <c r="A38" s="196">
        <v>44954</v>
      </c>
      <c r="B38">
        <v>7.353837027289048E-2</v>
      </c>
      <c r="C38">
        <v>1.9999999999999901E-4</v>
      </c>
      <c r="D38" s="195"/>
    </row>
    <row r="39" spans="1:4">
      <c r="A39" s="196">
        <v>44985</v>
      </c>
      <c r="B39">
        <v>-8.4428787635322008E-2</v>
      </c>
      <c r="C39">
        <v>-8.0100000000000005E-2</v>
      </c>
      <c r="D39" s="195"/>
    </row>
    <row r="40" spans="1:4">
      <c r="A40" s="196">
        <v>45013</v>
      </c>
      <c r="B40">
        <v>-0.14778281211724184</v>
      </c>
      <c r="C40">
        <v>-0.1326</v>
      </c>
      <c r="D40" s="195"/>
    </row>
    <row r="41" spans="1:4">
      <c r="A41" s="196">
        <v>45044</v>
      </c>
      <c r="B41">
        <v>0.13155101120000554</v>
      </c>
      <c r="C41">
        <v>0.13650000000000001</v>
      </c>
      <c r="D41" s="195"/>
    </row>
    <row r="42" spans="1:4">
      <c r="A42" s="196">
        <v>45074</v>
      </c>
      <c r="B42">
        <v>6.8144793969852737E-3</v>
      </c>
      <c r="C42">
        <v>5.5899999999999998E-2</v>
      </c>
      <c r="D42" s="195"/>
    </row>
    <row r="43" spans="1:4">
      <c r="A43" s="196">
        <v>45105</v>
      </c>
      <c r="B43">
        <v>-3.1714980993078012E-2</v>
      </c>
      <c r="C43">
        <v>2.47E-2</v>
      </c>
      <c r="D43" s="195"/>
    </row>
    <row r="44" spans="1:4">
      <c r="A44" s="196">
        <v>45135</v>
      </c>
      <c r="B44">
        <v>1.7035732531146753E-2</v>
      </c>
      <c r="C44">
        <v>5.7799999999999997E-2</v>
      </c>
      <c r="D44" s="195"/>
    </row>
    <row r="45" spans="1:4">
      <c r="A45" s="196">
        <v>45166</v>
      </c>
      <c r="B45">
        <v>1.7656448853695828E-2</v>
      </c>
      <c r="C45">
        <v>7.6399999999999996E-2</v>
      </c>
      <c r="D45" s="195"/>
    </row>
    <row r="46" spans="1:4">
      <c r="A46" s="196">
        <v>45197</v>
      </c>
      <c r="B46">
        <v>-1.2869741154377161E-2</v>
      </c>
      <c r="C46">
        <v>-3.6199999999999899E-2</v>
      </c>
      <c r="D46" s="195"/>
    </row>
    <row r="47" spans="1:4">
      <c r="A47" s="196">
        <v>45227</v>
      </c>
      <c r="B47">
        <v>-8.1299130349501675E-2</v>
      </c>
      <c r="C47">
        <v>-2.0899999999999998E-2</v>
      </c>
      <c r="D47" s="195"/>
    </row>
    <row r="48" spans="1:4">
      <c r="A48" s="196">
        <v>45258</v>
      </c>
      <c r="B48">
        <v>0.12231532048105868</v>
      </c>
      <c r="C48">
        <v>0.12479999999999999</v>
      </c>
      <c r="D48" s="195"/>
    </row>
    <row r="49" spans="1:4">
      <c r="A49" s="196">
        <v>45288</v>
      </c>
      <c r="B49">
        <v>1.7501782408830532E-2</v>
      </c>
      <c r="C49">
        <v>4.6399999999999997E-2</v>
      </c>
      <c r="D49" s="195"/>
    </row>
    <row r="50" spans="1:4">
      <c r="A50" s="196">
        <v>45319</v>
      </c>
      <c r="B50">
        <v>-5.4897313557708612E-2</v>
      </c>
      <c r="C50">
        <v>-2.9999999999999997E-4</v>
      </c>
      <c r="D50" s="195"/>
    </row>
    <row r="51" spans="1:4">
      <c r="A51" s="196">
        <v>45350</v>
      </c>
      <c r="B51">
        <v>1.1996391966177538E-2</v>
      </c>
      <c r="C51">
        <v>2.7799999999999998E-2</v>
      </c>
      <c r="D51" s="195"/>
    </row>
    <row r="52" spans="1:4">
      <c r="A52" s="196">
        <v>45379</v>
      </c>
      <c r="B52">
        <v>0.12037815107559612</v>
      </c>
      <c r="C52">
        <v>3.0800000000000001E-2</v>
      </c>
      <c r="D52" s="195"/>
    </row>
    <row r="53" spans="1:4">
      <c r="A53" s="196">
        <v>45410</v>
      </c>
      <c r="B53">
        <v>6.4112003736934015E-2</v>
      </c>
      <c r="C53">
        <v>4.9299999999999997E-2</v>
      </c>
      <c r="D53" s="195"/>
    </row>
    <row r="54" spans="1:4">
      <c r="A54" s="196">
        <v>45440</v>
      </c>
      <c r="B54">
        <v>2.406050237626231E-2</v>
      </c>
      <c r="C54">
        <v>2.8999999999999998E-3</v>
      </c>
      <c r="D54" s="195"/>
    </row>
    <row r="55" spans="1:4">
      <c r="A55" s="196">
        <v>45471</v>
      </c>
      <c r="B55">
        <v>1.9740727450872787E-2</v>
      </c>
      <c r="C55">
        <v>2.75E-2</v>
      </c>
      <c r="D55" s="195"/>
    </row>
    <row r="56" spans="1:4">
      <c r="A56" s="196">
        <v>45501</v>
      </c>
      <c r="B56">
        <v>-3.9441009904520902E-2</v>
      </c>
      <c r="C56">
        <v>1.2699999999999999E-2</v>
      </c>
      <c r="D56" s="195"/>
    </row>
    <row r="57" spans="1:4">
      <c r="A57" s="196">
        <v>45532</v>
      </c>
      <c r="B57">
        <v>7.7179265708166639E-3</v>
      </c>
      <c r="C57">
        <v>2.8999999999999901E-2</v>
      </c>
      <c r="D57" s="195"/>
    </row>
    <row r="58" spans="1:4">
      <c r="A58" s="196">
        <v>45563</v>
      </c>
      <c r="B58">
        <v>-9.9484856940726708E-3</v>
      </c>
      <c r="C58">
        <v>-4.3700000000000003E-2</v>
      </c>
      <c r="D58" s="195"/>
    </row>
    <row r="59" spans="1:4">
      <c r="A59" s="196">
        <v>45593</v>
      </c>
      <c r="B59">
        <v>-9.7863096962537852E-2</v>
      </c>
      <c r="C59">
        <v>6.6500000000000004E-2</v>
      </c>
      <c r="D59" s="195"/>
    </row>
    <row r="60" spans="1:4">
      <c r="A60" s="196">
        <v>45624</v>
      </c>
      <c r="B60">
        <v>-8.7905842258344281E-3</v>
      </c>
      <c r="C60">
        <v>-1.55E-2</v>
      </c>
      <c r="D60" s="195"/>
    </row>
    <row r="61" spans="1:4">
      <c r="A61" s="196">
        <v>45654</v>
      </c>
      <c r="B61">
        <v>4.2824211999999999E-3</v>
      </c>
      <c r="C61" s="46">
        <v>2.3157238530000001E-3</v>
      </c>
      <c r="D61" s="19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80FEE-245A-4284-BA89-4D2EAE1389E1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178</v>
      </c>
      <c r="C3" s="198"/>
      <c r="F3" s="198" t="s">
        <v>175</v>
      </c>
      <c r="G3" s="198"/>
    </row>
    <row r="4" spans="1:18">
      <c r="A4" t="s">
        <v>4</v>
      </c>
      <c r="B4" s="65" t="s">
        <v>90</v>
      </c>
      <c r="C4" s="65" t="s">
        <v>103</v>
      </c>
      <c r="D4" s="1" t="s">
        <v>66</v>
      </c>
      <c r="F4" s="65" t="s">
        <v>90</v>
      </c>
      <c r="G4" s="65" t="s">
        <v>103</v>
      </c>
    </row>
    <row r="5" spans="1:18">
      <c r="A5" t="s">
        <v>201</v>
      </c>
      <c r="B5">
        <v>5.1388423267246498E-2</v>
      </c>
      <c r="C5">
        <v>1.9800000000000002E-2</v>
      </c>
      <c r="D5">
        <v>4.0000000000000002E-4</v>
      </c>
      <c r="F5">
        <f>B5-D5</f>
        <v>5.0988423267246501E-2</v>
      </c>
      <c r="G5">
        <f>C5-D5</f>
        <v>1.9400000000000001E-2</v>
      </c>
      <c r="J5" t="s">
        <v>40</v>
      </c>
    </row>
    <row r="6" spans="1:18" ht="15.75" thickBot="1">
      <c r="A6" t="s">
        <v>202</v>
      </c>
      <c r="B6">
        <v>3.85160182031885E-2</v>
      </c>
      <c r="C6">
        <v>3.6099999999999903E-2</v>
      </c>
      <c r="D6">
        <v>4.0000000000000002E-4</v>
      </c>
      <c r="F6">
        <f t="shared" ref="F6:F63" si="0">B6-D6</f>
        <v>3.8116018203188502E-2</v>
      </c>
      <c r="G6">
        <f t="shared" ref="G6:G63" si="1">C6-D6</f>
        <v>3.5699999999999905E-2</v>
      </c>
    </row>
    <row r="7" spans="1:18">
      <c r="A7" t="s">
        <v>203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41</v>
      </c>
      <c r="K7" s="29"/>
    </row>
    <row r="8" spans="1:18">
      <c r="A8" t="s">
        <v>204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42</v>
      </c>
      <c r="K8">
        <v>0.699141442456367</v>
      </c>
    </row>
    <row r="9" spans="1:18">
      <c r="A9" t="s">
        <v>205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43</v>
      </c>
      <c r="K9">
        <v>0.48879875655996946</v>
      </c>
    </row>
    <row r="10" spans="1:18">
      <c r="A10" t="s">
        <v>206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44</v>
      </c>
      <c r="K10">
        <v>0.47983031369260049</v>
      </c>
    </row>
    <row r="11" spans="1:18">
      <c r="A11" t="s">
        <v>207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45</v>
      </c>
      <c r="K11">
        <v>5.082403213542204E-2</v>
      </c>
    </row>
    <row r="12" spans="1:18" ht="15.75" thickBot="1">
      <c r="A12" t="s">
        <v>208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46</v>
      </c>
      <c r="K12" s="27">
        <v>59</v>
      </c>
    </row>
    <row r="13" spans="1:18">
      <c r="A13" t="s">
        <v>209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thickBot="1">
      <c r="A14" t="s">
        <v>210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47</v>
      </c>
    </row>
    <row r="15" spans="1:18">
      <c r="A15" t="s">
        <v>211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48</v>
      </c>
      <c r="L15" s="28" t="s">
        <v>49</v>
      </c>
      <c r="M15" s="28" t="s">
        <v>50</v>
      </c>
      <c r="N15" s="28" t="s">
        <v>51</v>
      </c>
      <c r="O15" s="28" t="s">
        <v>52</v>
      </c>
    </row>
    <row r="16" spans="1:18">
      <c r="A16" t="s">
        <v>212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53</v>
      </c>
      <c r="K16">
        <v>1</v>
      </c>
      <c r="L16">
        <v>0.14078334521383015</v>
      </c>
      <c r="M16">
        <v>0.14078334521383015</v>
      </c>
      <c r="N16">
        <v>54.502076200811743</v>
      </c>
      <c r="O16">
        <v>7.328372571321301E-10</v>
      </c>
    </row>
    <row r="17" spans="1:18">
      <c r="A17" t="s">
        <v>213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54</v>
      </c>
      <c r="K17">
        <v>57</v>
      </c>
      <c r="L17">
        <v>0.14723568782263749</v>
      </c>
      <c r="M17">
        <v>2.5830822425024122E-3</v>
      </c>
    </row>
    <row r="18" spans="1:18" ht="15.75" thickBot="1">
      <c r="A18" t="s">
        <v>214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55</v>
      </c>
      <c r="K18" s="27">
        <v>58</v>
      </c>
      <c r="L18" s="27">
        <v>0.28801903303646764</v>
      </c>
      <c r="M18" s="27"/>
      <c r="N18" s="27"/>
      <c r="O18" s="27"/>
    </row>
    <row r="19" spans="1:18" ht="15.75" thickBot="1">
      <c r="A19" t="s">
        <v>215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216</v>
      </c>
      <c r="B20">
        <v>-5.5204159568362401E-2</v>
      </c>
      <c r="C20">
        <v>4.3E-3</v>
      </c>
      <c r="D20">
        <v>1.4000000000000002E-3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56</v>
      </c>
      <c r="L20" s="28" t="s">
        <v>45</v>
      </c>
      <c r="M20" s="28" t="s">
        <v>57</v>
      </c>
      <c r="N20" s="28" t="s">
        <v>58</v>
      </c>
      <c r="O20" s="28" t="s">
        <v>59</v>
      </c>
      <c r="P20" s="28" t="s">
        <v>60</v>
      </c>
      <c r="Q20" s="30"/>
      <c r="R20" s="30"/>
    </row>
    <row r="21" spans="1:18">
      <c r="A21" t="s">
        <v>217</v>
      </c>
      <c r="B21">
        <v>-1.43583341177253E-2</v>
      </c>
      <c r="C21">
        <v>2.7900000000000001E-2</v>
      </c>
      <c r="D21">
        <v>1.4000000000000002E-3</v>
      </c>
      <c r="F21">
        <f t="shared" si="0"/>
        <v>-1.5758334117725301E-2</v>
      </c>
      <c r="G21">
        <f t="shared" si="1"/>
        <v>2.6500000000000003E-2</v>
      </c>
      <c r="J21" t="s">
        <v>61</v>
      </c>
      <c r="K21">
        <v>-1.4401456291174342E-2</v>
      </c>
      <c r="L21">
        <v>6.912214016070636E-3</v>
      </c>
      <c r="M21">
        <v>-2.0834795128871155</v>
      </c>
      <c r="N21">
        <v>4.1702839881325247E-2</v>
      </c>
      <c r="O21">
        <v>-2.8242926105582961E-2</v>
      </c>
      <c r="P21">
        <v>-5.5998647676572255E-4</v>
      </c>
    </row>
    <row r="22" spans="1:18" ht="15.75" thickBot="1">
      <c r="A22" t="s">
        <v>218</v>
      </c>
      <c r="B22">
        <v>-1.1393220817302799E-2</v>
      </c>
      <c r="C22">
        <v>6.1999999999999998E-3</v>
      </c>
      <c r="D22">
        <v>1.4000000000000002E-3</v>
      </c>
      <c r="F22">
        <f t="shared" si="0"/>
        <v>-1.2793220817302799E-2</v>
      </c>
      <c r="G22">
        <f t="shared" si="1"/>
        <v>4.7999999999999996E-3</v>
      </c>
      <c r="J22" s="27" t="s">
        <v>62</v>
      </c>
      <c r="K22" s="27">
        <v>1.0514124853806885</v>
      </c>
      <c r="L22" s="27">
        <v>0.14241856535083644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1.3366007432575175</v>
      </c>
    </row>
    <row r="23" spans="1:18">
      <c r="A23" t="s">
        <v>219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220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221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222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223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224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225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226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227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228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229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230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231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232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233</v>
      </c>
      <c r="B37">
        <v>7.2972721469506799E-2</v>
      </c>
      <c r="C37">
        <v>1.61E-2</v>
      </c>
      <c r="D37">
        <v>1.8E-3</v>
      </c>
      <c r="F37">
        <f t="shared" si="0"/>
        <v>7.1172721469506803E-2</v>
      </c>
      <c r="G37">
        <f t="shared" si="1"/>
        <v>1.43E-2</v>
      </c>
    </row>
    <row r="38" spans="1:7">
      <c r="A38" t="s">
        <v>234</v>
      </c>
      <c r="B38">
        <v>-8.0387834747274498E-2</v>
      </c>
      <c r="C38">
        <v>2.2100000000000002E-2</v>
      </c>
      <c r="D38">
        <v>1.6000000000000001E-3</v>
      </c>
      <c r="F38">
        <f t="shared" si="0"/>
        <v>-8.1987834747274502E-2</v>
      </c>
      <c r="G38">
        <f t="shared" si="1"/>
        <v>2.0500000000000001E-2</v>
      </c>
    </row>
    <row r="39" spans="1:7">
      <c r="A39" t="s">
        <v>235</v>
      </c>
      <c r="B39">
        <v>1.72586475114084E-2</v>
      </c>
      <c r="C39">
        <v>3.9899999999999998E-2</v>
      </c>
      <c r="D39">
        <v>1.1999999999999999E-3</v>
      </c>
      <c r="F39">
        <f t="shared" si="0"/>
        <v>1.6058647511408401E-2</v>
      </c>
      <c r="G39">
        <f t="shared" si="1"/>
        <v>3.8699999999999998E-2</v>
      </c>
    </row>
    <row r="40" spans="1:7">
      <c r="A40" t="s">
        <v>236</v>
      </c>
      <c r="B40">
        <v>-3.0495484202665E-3</v>
      </c>
      <c r="C40">
        <v>2.9100000000000001E-2</v>
      </c>
      <c r="D40">
        <v>1.4000000000000002E-3</v>
      </c>
      <c r="F40">
        <f t="shared" si="0"/>
        <v>-4.4495484202664998E-3</v>
      </c>
      <c r="G40">
        <f t="shared" si="1"/>
        <v>2.7700000000000002E-2</v>
      </c>
    </row>
    <row r="41" spans="1:7">
      <c r="A41" t="s">
        <v>237</v>
      </c>
      <c r="B41">
        <v>7.2291667790955305E-2</v>
      </c>
      <c r="C41">
        <v>1.9999999999999901E-4</v>
      </c>
      <c r="D41">
        <v>1.3000000000000002E-3</v>
      </c>
      <c r="F41">
        <f t="shared" si="0"/>
        <v>7.099166779095531E-2</v>
      </c>
      <c r="G41">
        <f t="shared" si="1"/>
        <v>-1.1000000000000012E-3</v>
      </c>
    </row>
    <row r="42" spans="1:7">
      <c r="A42" t="s">
        <v>238</v>
      </c>
      <c r="B42">
        <v>-8.5026984485784898E-2</v>
      </c>
      <c r="C42">
        <v>-8.0100000000000005E-2</v>
      </c>
      <c r="D42">
        <v>1.1999999999999999E-3</v>
      </c>
      <c r="F42">
        <f t="shared" si="0"/>
        <v>-8.6226984485784905E-2</v>
      </c>
      <c r="G42">
        <f t="shared" si="1"/>
        <v>-8.1300000000000011E-2</v>
      </c>
    </row>
    <row r="43" spans="1:7">
      <c r="A43" t="s">
        <v>239</v>
      </c>
      <c r="B43">
        <v>-0.14767567632833201</v>
      </c>
      <c r="C43">
        <v>-0.1326</v>
      </c>
      <c r="D43">
        <v>1.3000000000000002E-3</v>
      </c>
      <c r="F43">
        <f t="shared" si="0"/>
        <v>-0.148975676328332</v>
      </c>
      <c r="G43">
        <f t="shared" si="1"/>
        <v>-0.13389999999999999</v>
      </c>
    </row>
    <row r="44" spans="1:7">
      <c r="A44" t="s">
        <v>240</v>
      </c>
      <c r="B44">
        <v>0.13188481384076101</v>
      </c>
      <c r="C44">
        <v>0.13650000000000001</v>
      </c>
      <c r="D44">
        <v>0</v>
      </c>
      <c r="F44">
        <f t="shared" si="0"/>
        <v>0.13188481384076101</v>
      </c>
      <c r="G44">
        <f t="shared" si="1"/>
        <v>0.13650000000000001</v>
      </c>
    </row>
    <row r="45" spans="1:7">
      <c r="A45" t="s">
        <v>241</v>
      </c>
      <c r="B45">
        <v>8.0842695879219592E-3</v>
      </c>
      <c r="C45">
        <v>5.5899999999999998E-2</v>
      </c>
      <c r="D45">
        <v>1E-4</v>
      </c>
      <c r="F45">
        <f t="shared" si="0"/>
        <v>7.9842695879219598E-3</v>
      </c>
      <c r="G45">
        <f t="shared" si="1"/>
        <v>5.5799999999999995E-2</v>
      </c>
    </row>
    <row r="46" spans="1:7">
      <c r="A46" t="s">
        <v>242</v>
      </c>
      <c r="B46">
        <v>-3.30662762235025E-2</v>
      </c>
      <c r="C46">
        <v>2.47E-2</v>
      </c>
      <c r="D46">
        <v>1E-4</v>
      </c>
      <c r="F46">
        <f t="shared" si="0"/>
        <v>-3.3166276223502503E-2</v>
      </c>
      <c r="G46">
        <f t="shared" si="1"/>
        <v>2.46E-2</v>
      </c>
    </row>
    <row r="47" spans="1:7">
      <c r="A47" t="s">
        <v>243</v>
      </c>
      <c r="B47">
        <v>1.7967914804698001E-2</v>
      </c>
      <c r="C47">
        <v>5.7799999999999997E-2</v>
      </c>
      <c r="D47">
        <v>1E-4</v>
      </c>
      <c r="F47">
        <f t="shared" si="0"/>
        <v>1.7867914804698001E-2</v>
      </c>
      <c r="G47">
        <f t="shared" si="1"/>
        <v>5.7699999999999994E-2</v>
      </c>
    </row>
    <row r="48" spans="1:7">
      <c r="A48" t="s">
        <v>244</v>
      </c>
      <c r="B48">
        <v>1.61423811185867E-2</v>
      </c>
      <c r="C48">
        <v>7.6399999999999996E-2</v>
      </c>
      <c r="D48">
        <v>1E-4</v>
      </c>
      <c r="F48">
        <f t="shared" si="0"/>
        <v>1.6042381118586701E-2</v>
      </c>
      <c r="G48">
        <f t="shared" si="1"/>
        <v>7.6299999999999993E-2</v>
      </c>
    </row>
    <row r="49" spans="1:7">
      <c r="A49" t="s">
        <v>245</v>
      </c>
      <c r="B49">
        <v>-1.32998217325723E-2</v>
      </c>
      <c r="C49">
        <v>-3.6199999999999899E-2</v>
      </c>
      <c r="D49">
        <v>1E-4</v>
      </c>
      <c r="F49">
        <f t="shared" si="0"/>
        <v>-1.3399821732572299E-2</v>
      </c>
      <c r="G49">
        <f t="shared" si="1"/>
        <v>-3.6299999999999902E-2</v>
      </c>
    </row>
    <row r="50" spans="1:7">
      <c r="A50" t="s">
        <v>246</v>
      </c>
      <c r="B50">
        <v>-8.2271770332119298E-2</v>
      </c>
      <c r="C50">
        <v>-2.0899999999999998E-2</v>
      </c>
      <c r="D50">
        <v>1E-4</v>
      </c>
      <c r="F50">
        <f t="shared" si="0"/>
        <v>-8.2371770332119301E-2</v>
      </c>
      <c r="G50">
        <f t="shared" si="1"/>
        <v>-2.0999999999999998E-2</v>
      </c>
    </row>
    <row r="51" spans="1:7">
      <c r="A51" t="s">
        <v>247</v>
      </c>
      <c r="B51">
        <v>0.12225608811132101</v>
      </c>
      <c r="C51">
        <v>0.12479999999999999</v>
      </c>
      <c r="D51">
        <v>1E-4</v>
      </c>
      <c r="F51">
        <f t="shared" si="0"/>
        <v>0.122156088111321</v>
      </c>
      <c r="G51">
        <f t="shared" si="1"/>
        <v>0.12469999999999999</v>
      </c>
    </row>
    <row r="52" spans="1:7">
      <c r="A52" t="s">
        <v>248</v>
      </c>
      <c r="B52">
        <v>1.9106268708126699E-2</v>
      </c>
      <c r="C52">
        <v>4.6399999999999997E-2</v>
      </c>
      <c r="D52">
        <v>1E-4</v>
      </c>
      <c r="F52">
        <f t="shared" si="0"/>
        <v>1.9006268708126699E-2</v>
      </c>
      <c r="G52">
        <f t="shared" si="1"/>
        <v>4.6299999999999994E-2</v>
      </c>
    </row>
    <row r="53" spans="1:7">
      <c r="A53" t="s">
        <v>249</v>
      </c>
      <c r="B53">
        <v>-5.3781434156484599E-2</v>
      </c>
      <c r="C53">
        <v>-2.9999999999999997E-4</v>
      </c>
      <c r="D53">
        <v>1E-4</v>
      </c>
      <c r="F53">
        <f t="shared" si="0"/>
        <v>-5.3881434156484602E-2</v>
      </c>
      <c r="G53">
        <f t="shared" si="1"/>
        <v>-3.9999999999999996E-4</v>
      </c>
    </row>
    <row r="54" spans="1:7">
      <c r="A54" t="s">
        <v>250</v>
      </c>
      <c r="B54">
        <v>1.18314414028388E-2</v>
      </c>
      <c r="C54">
        <v>2.7799999999999998E-2</v>
      </c>
      <c r="D54">
        <v>0</v>
      </c>
      <c r="F54">
        <f t="shared" si="0"/>
        <v>1.18314414028388E-2</v>
      </c>
      <c r="G54">
        <f t="shared" si="1"/>
        <v>2.7799999999999998E-2</v>
      </c>
    </row>
    <row r="55" spans="1:7">
      <c r="A55" t="s">
        <v>251</v>
      </c>
      <c r="B55">
        <v>0.120491111390693</v>
      </c>
      <c r="C55">
        <v>3.0800000000000001E-2</v>
      </c>
      <c r="D55">
        <v>0</v>
      </c>
      <c r="F55">
        <f t="shared" si="0"/>
        <v>0.120491111390693</v>
      </c>
      <c r="G55">
        <f t="shared" si="1"/>
        <v>3.0800000000000001E-2</v>
      </c>
    </row>
    <row r="56" spans="1:7">
      <c r="A56" t="s">
        <v>252</v>
      </c>
      <c r="B56">
        <v>6.4685559815085905E-2</v>
      </c>
      <c r="C56">
        <v>4.9299999999999997E-2</v>
      </c>
      <c r="D56">
        <v>0</v>
      </c>
      <c r="F56">
        <f t="shared" si="0"/>
        <v>6.4685559815085905E-2</v>
      </c>
      <c r="G56">
        <f t="shared" si="1"/>
        <v>4.9299999999999997E-2</v>
      </c>
    </row>
    <row r="57" spans="1:7">
      <c r="A57" t="s">
        <v>253</v>
      </c>
      <c r="B57">
        <v>2.4429357670230099E-2</v>
      </c>
      <c r="C57">
        <v>2.8999999999999998E-3</v>
      </c>
      <c r="D57">
        <v>0</v>
      </c>
      <c r="F57">
        <f t="shared" si="0"/>
        <v>2.4429357670230099E-2</v>
      </c>
      <c r="G57">
        <f t="shared" si="1"/>
        <v>2.8999999999999998E-3</v>
      </c>
    </row>
    <row r="58" spans="1:7">
      <c r="A58" t="s">
        <v>254</v>
      </c>
      <c r="B58">
        <v>1.9827391542668101E-2</v>
      </c>
      <c r="C58">
        <v>2.75E-2</v>
      </c>
      <c r="D58">
        <v>0</v>
      </c>
      <c r="F58">
        <f t="shared" si="0"/>
        <v>1.9827391542668101E-2</v>
      </c>
      <c r="G58">
        <f t="shared" si="1"/>
        <v>2.75E-2</v>
      </c>
    </row>
    <row r="59" spans="1:7">
      <c r="A59" t="s">
        <v>255</v>
      </c>
      <c r="B59">
        <v>-3.8406380833571598E-2</v>
      </c>
      <c r="C59">
        <v>1.2699999999999999E-2</v>
      </c>
      <c r="D59">
        <v>0</v>
      </c>
      <c r="F59">
        <f t="shared" si="0"/>
        <v>-3.8406380833571598E-2</v>
      </c>
      <c r="G59">
        <f t="shared" si="1"/>
        <v>1.2699999999999999E-2</v>
      </c>
    </row>
    <row r="60" spans="1:7">
      <c r="A60" t="s">
        <v>256</v>
      </c>
      <c r="B60">
        <v>7.06378682017594E-3</v>
      </c>
      <c r="C60">
        <v>2.8999999999999901E-2</v>
      </c>
      <c r="D60">
        <v>0</v>
      </c>
      <c r="F60">
        <f t="shared" si="0"/>
        <v>7.06378682017594E-3</v>
      </c>
      <c r="G60">
        <f t="shared" si="1"/>
        <v>2.8999999999999901E-2</v>
      </c>
    </row>
    <row r="61" spans="1:7">
      <c r="A61" t="s">
        <v>257</v>
      </c>
      <c r="B61">
        <v>-1.00470631595045E-2</v>
      </c>
      <c r="C61">
        <v>-4.3700000000000003E-2</v>
      </c>
      <c r="D61">
        <v>0</v>
      </c>
      <c r="F61">
        <f t="shared" si="0"/>
        <v>-1.00470631595045E-2</v>
      </c>
      <c r="G61">
        <f t="shared" si="1"/>
        <v>-4.3700000000000003E-2</v>
      </c>
    </row>
    <row r="62" spans="1:7">
      <c r="A62" t="s">
        <v>258</v>
      </c>
      <c r="B62">
        <v>-9.9546513084460705E-2</v>
      </c>
      <c r="C62">
        <v>6.6500000000000004E-2</v>
      </c>
      <c r="D62">
        <v>0</v>
      </c>
      <c r="F62">
        <f t="shared" si="0"/>
        <v>-9.9546513084460705E-2</v>
      </c>
      <c r="G62">
        <f t="shared" si="1"/>
        <v>6.6500000000000004E-2</v>
      </c>
    </row>
    <row r="63" spans="1:7">
      <c r="A63" t="s">
        <v>259</v>
      </c>
      <c r="B63">
        <v>-7.8250983122879394E-3</v>
      </c>
      <c r="C63">
        <v>-1.55E-2</v>
      </c>
      <c r="D63">
        <v>0</v>
      </c>
      <c r="F63">
        <f t="shared" si="0"/>
        <v>-7.8250983122879394E-3</v>
      </c>
      <c r="G63">
        <f t="shared" si="1"/>
        <v>-1.55E-2</v>
      </c>
    </row>
  </sheetData>
  <mergeCells count="2">
    <mergeCell ref="B3:C3"/>
    <mergeCell ref="F3:G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DF1C2-004B-4264-8E20-0B6501F5593B}">
  <sheetPr codeName="Sheet21"/>
  <dimension ref="A2:D31"/>
  <sheetViews>
    <sheetView showGridLines="0" workbookViewId="0">
      <selection activeCell="B22" sqref="B22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8" t="s">
        <v>79</v>
      </c>
      <c r="C2" s="198"/>
    </row>
    <row r="3" spans="1:4">
      <c r="B3" s="4" t="s">
        <v>954</v>
      </c>
      <c r="C3" s="4" t="s">
        <v>955</v>
      </c>
    </row>
    <row r="4" spans="1:4">
      <c r="A4" s="78" t="s">
        <v>954</v>
      </c>
      <c r="B4" s="185">
        <v>0.04</v>
      </c>
      <c r="C4" s="185">
        <v>0.02</v>
      </c>
    </row>
    <row r="5" spans="1:4">
      <c r="A5" s="78" t="s">
        <v>955</v>
      </c>
      <c r="B5" s="185">
        <v>0.02</v>
      </c>
      <c r="C5" s="185">
        <v>0.09</v>
      </c>
    </row>
    <row r="7" spans="1:4">
      <c r="A7" s="51"/>
      <c r="B7" s="51"/>
      <c r="C7" s="51"/>
      <c r="D7" s="51"/>
    </row>
    <row r="8" spans="1:4">
      <c r="A8" s="48" t="s">
        <v>946</v>
      </c>
      <c r="B8" s="47" t="s">
        <v>954</v>
      </c>
      <c r="C8" s="47" t="s">
        <v>955</v>
      </c>
      <c r="D8" s="48" t="s">
        <v>66</v>
      </c>
    </row>
    <row r="9" spans="1:4">
      <c r="A9" t="s">
        <v>0</v>
      </c>
      <c r="B9" s="4">
        <v>0.15</v>
      </c>
      <c r="C9" s="4">
        <v>0.18</v>
      </c>
      <c r="D9" s="4">
        <v>0.01</v>
      </c>
    </row>
    <row r="10" spans="1:4">
      <c r="A10" t="s">
        <v>947</v>
      </c>
      <c r="B10" s="4">
        <v>550</v>
      </c>
      <c r="C10" s="4">
        <v>200</v>
      </c>
    </row>
    <row r="11" spans="1:4">
      <c r="A11" t="s">
        <v>948</v>
      </c>
      <c r="B11" s="4">
        <v>10</v>
      </c>
      <c r="C11" s="4">
        <v>5</v>
      </c>
    </row>
    <row r="12" spans="1:4">
      <c r="A12" t="s">
        <v>1165</v>
      </c>
      <c r="B12" s="4">
        <f>B11*B10</f>
        <v>5500</v>
      </c>
      <c r="C12" s="4">
        <f>C11*C10</f>
        <v>1000</v>
      </c>
    </row>
    <row r="13" spans="1:4">
      <c r="A13" s="51" t="s">
        <v>949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957</v>
      </c>
      <c r="B14" s="81" t="s">
        <v>954</v>
      </c>
      <c r="C14" s="81" t="s">
        <v>955</v>
      </c>
      <c r="D14" s="82"/>
    </row>
    <row r="15" spans="1:4">
      <c r="A15" t="s">
        <v>104</v>
      </c>
      <c r="B15" s="2">
        <v>0.69696969460192715</v>
      </c>
      <c r="C15" s="2">
        <f>1-B15</f>
        <v>0.30303030539807285</v>
      </c>
    </row>
    <row r="16" spans="1:4">
      <c r="A16" t="s">
        <v>0</v>
      </c>
      <c r="B16">
        <f>SUMPRODUCT(B15:C15,B9:C9)</f>
        <v>0.15909090916194218</v>
      </c>
    </row>
    <row r="17" spans="1:4">
      <c r="A17" t="s">
        <v>950</v>
      </c>
      <c r="B17">
        <f>SUMPRODUCT(MMULT(B15:C15,B4:C5),B15:C15)</f>
        <v>3.6143250723145524E-2</v>
      </c>
    </row>
    <row r="18" spans="1:4">
      <c r="A18" t="s">
        <v>951</v>
      </c>
      <c r="B18">
        <f>SQRT(B17)</f>
        <v>0.1901137836221917</v>
      </c>
    </row>
    <row r="19" spans="1:4">
      <c r="A19" t="s">
        <v>74</v>
      </c>
      <c r="B19">
        <f>(B16-D9)/B18</f>
        <v>0.78421935706790602</v>
      </c>
    </row>
    <row r="20" spans="1:4">
      <c r="A20" t="s">
        <v>952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84</v>
      </c>
      <c r="B21">
        <f>B20/B17</f>
        <v>0.93902438803890798</v>
      </c>
      <c r="C21">
        <f>C20/B17</f>
        <v>1.1402439059382545</v>
      </c>
    </row>
    <row r="22" spans="1:4">
      <c r="A22" s="51" t="s">
        <v>132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953</v>
      </c>
      <c r="B23" s="81" t="s">
        <v>954</v>
      </c>
      <c r="C23" s="81" t="s">
        <v>955</v>
      </c>
      <c r="D23" s="82"/>
    </row>
    <row r="24" spans="1:4">
      <c r="A24" t="s">
        <v>104</v>
      </c>
      <c r="B24" s="2">
        <f>B13</f>
        <v>0.84615384615384615</v>
      </c>
      <c r="C24" s="2">
        <f>C13</f>
        <v>0.15384615384615385</v>
      </c>
    </row>
    <row r="25" spans="1:4">
      <c r="A25" t="s">
        <v>0</v>
      </c>
      <c r="B25">
        <f>SUMPRODUCT(B24:C24,B9:C9)</f>
        <v>0.1546153846153846</v>
      </c>
    </row>
    <row r="26" spans="1:4">
      <c r="A26" t="s">
        <v>950</v>
      </c>
      <c r="B26">
        <f>SUMPRODUCT(MMULT(B24:C24,B4:C5),B24:C24)</f>
        <v>3.5976331360946745E-2</v>
      </c>
    </row>
    <row r="27" spans="1:4">
      <c r="A27" t="s">
        <v>951</v>
      </c>
      <c r="B27">
        <f>SQRT(B26)</f>
        <v>0.18967427701443004</v>
      </c>
    </row>
    <row r="28" spans="1:4">
      <c r="A28" t="s">
        <v>74</v>
      </c>
      <c r="B28">
        <f>(B25-0.01)/B27</f>
        <v>0.76244067931458381</v>
      </c>
    </row>
    <row r="29" spans="1:4">
      <c r="A29" t="s">
        <v>952</v>
      </c>
      <c r="B29">
        <f>SUMPRODUCT(B24:C24,B4:C4)</f>
        <v>3.692307692307692E-2</v>
      </c>
      <c r="C29">
        <f>SUMPRODUCT(B24:C24,B5:C5)</f>
        <v>3.0769230769230771E-2</v>
      </c>
      <c r="D29" t="s">
        <v>956</v>
      </c>
    </row>
    <row r="30" spans="1:4">
      <c r="A30" t="s">
        <v>84</v>
      </c>
      <c r="B30">
        <f>B29/B26</f>
        <v>1.0263157894736841</v>
      </c>
      <c r="C30">
        <f>C29/B26</f>
        <v>0.85526315789473695</v>
      </c>
    </row>
    <row r="31" spans="1:4">
      <c r="A31" s="51" t="s">
        <v>132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1DF00-4B7E-44E1-8F27-2F11FDFF23C7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0" t="s">
        <v>175</v>
      </c>
      <c r="O1" s="200"/>
      <c r="P1" s="200"/>
      <c r="Q1" s="200"/>
    </row>
    <row r="2" spans="1:27" ht="15" customHeight="1">
      <c r="B2" s="4" t="s">
        <v>135</v>
      </c>
      <c r="C2" s="4" t="s">
        <v>136</v>
      </c>
      <c r="D2" s="4"/>
      <c r="L2" s="3" t="s">
        <v>1144</v>
      </c>
      <c r="N2" s="4" t="s">
        <v>1144</v>
      </c>
      <c r="O2" s="4"/>
      <c r="P2" s="4" t="s">
        <v>135</v>
      </c>
      <c r="Q2" s="4" t="s">
        <v>136</v>
      </c>
    </row>
    <row r="3" spans="1:27">
      <c r="A3" s="175">
        <f>DATE(2018,1,31)</f>
        <v>43131</v>
      </c>
      <c r="B3">
        <v>3.740688233997657E-2</v>
      </c>
      <c r="C3" s="4">
        <v>1.6027057198686856E-2</v>
      </c>
      <c r="F3" t="s">
        <v>79</v>
      </c>
      <c r="L3">
        <f t="shared" ref="L3:L34" si="0">SUMPRODUCT($E$13:$F$13,B3:C3)</f>
        <v>8.2911654583266835E-3</v>
      </c>
      <c r="N3">
        <f>L3-$H$9</f>
        <v>6.2911654583266835E-3</v>
      </c>
      <c r="P3">
        <f>B3-$H$9</f>
        <v>3.5406882339976568E-2</v>
      </c>
      <c r="Q3">
        <f>C3-$H$9</f>
        <v>1.4027057198686856E-2</v>
      </c>
      <c r="S3" s="174"/>
    </row>
    <row r="4" spans="1:27">
      <c r="A4" s="175">
        <v>43159</v>
      </c>
      <c r="B4">
        <v>3.3003306865113526E-2</v>
      </c>
      <c r="C4" s="4">
        <v>3.0956429749007995E-2</v>
      </c>
      <c r="F4" t="s">
        <v>1136</v>
      </c>
      <c r="G4" t="s">
        <v>1137</v>
      </c>
      <c r="L4">
        <f t="shared" si="0"/>
        <v>3.0215805367313088E-2</v>
      </c>
      <c r="N4">
        <f t="shared" ref="N4:N61" si="1">L4-$H$9</f>
        <v>2.8215805367313086E-2</v>
      </c>
      <c r="P4">
        <f t="shared" ref="P4:Q61" si="2">B4-$H$9</f>
        <v>3.1003306865113524E-2</v>
      </c>
      <c r="Q4">
        <f t="shared" si="2"/>
        <v>2.8956429749007993E-2</v>
      </c>
      <c r="R4" s="30"/>
      <c r="S4" s="30"/>
      <c r="T4" s="30"/>
      <c r="U4" s="30"/>
      <c r="V4" s="30"/>
      <c r="W4" s="30"/>
    </row>
    <row r="5" spans="1:27">
      <c r="A5" s="175">
        <v>43190</v>
      </c>
      <c r="B5">
        <v>1.2392478128750646E-2</v>
      </c>
      <c r="C5" s="4">
        <v>4.1379592828974694E-3</v>
      </c>
      <c r="E5" t="s">
        <v>1136</v>
      </c>
      <c r="F5">
        <f>VARP(B3:B26)</f>
        <v>1.6061948235382801E-3</v>
      </c>
      <c r="G5">
        <f>COVAR(B3:B26,C3:C26)</f>
        <v>1.2752190684524626E-3</v>
      </c>
      <c r="L5">
        <f t="shared" si="0"/>
        <v>1.151215297000169E-3</v>
      </c>
      <c r="N5">
        <f t="shared" si="1"/>
        <v>-8.4878470299983109E-4</v>
      </c>
      <c r="P5">
        <f t="shared" si="2"/>
        <v>1.0392478128750646E-2</v>
      </c>
      <c r="Q5">
        <f t="shared" si="2"/>
        <v>2.1379592828974694E-3</v>
      </c>
      <c r="S5" s="172"/>
    </row>
    <row r="6" spans="1:27">
      <c r="A6" s="175">
        <v>43220</v>
      </c>
      <c r="B6">
        <v>9.3585909039893434E-3</v>
      </c>
      <c r="C6" s="4">
        <v>1.8943760300476665E-2</v>
      </c>
      <c r="E6" t="s">
        <v>1137</v>
      </c>
      <c r="F6" s="171">
        <f>G5</f>
        <v>1.2752190684524626E-3</v>
      </c>
      <c r="G6">
        <f>VARP(C3:C26)</f>
        <v>1.2688609161189716E-3</v>
      </c>
      <c r="L6">
        <f t="shared" si="0"/>
        <v>2.2411975417963186E-2</v>
      </c>
      <c r="N6">
        <f t="shared" si="1"/>
        <v>2.0411975417963184E-2</v>
      </c>
      <c r="P6">
        <f t="shared" si="2"/>
        <v>7.3585909039893434E-3</v>
      </c>
      <c r="Q6">
        <f t="shared" si="2"/>
        <v>1.6943760300476667E-2</v>
      </c>
      <c r="T6" s="197" t="s">
        <v>1146</v>
      </c>
      <c r="U6" s="197"/>
    </row>
    <row r="7" spans="1:27">
      <c r="A7" s="175">
        <v>43251</v>
      </c>
      <c r="B7">
        <v>-8.0108465214482026E-3</v>
      </c>
      <c r="C7" s="4">
        <v>1.4186134656133753E-2</v>
      </c>
      <c r="L7">
        <f t="shared" si="0"/>
        <v>2.2217699096806629E-2</v>
      </c>
      <c r="N7">
        <f t="shared" si="1"/>
        <v>2.0217699096806631E-2</v>
      </c>
      <c r="P7">
        <f t="shared" si="2"/>
        <v>-1.0010846521448203E-2</v>
      </c>
      <c r="Q7">
        <f t="shared" si="2"/>
        <v>1.2186134656133753E-2</v>
      </c>
      <c r="T7" s="4" t="s">
        <v>135</v>
      </c>
      <c r="U7" s="4" t="s">
        <v>136</v>
      </c>
    </row>
    <row r="8" spans="1:27">
      <c r="A8" s="175">
        <v>43281</v>
      </c>
      <c r="B8">
        <v>4.0293154036286562E-2</v>
      </c>
      <c r="C8" s="4">
        <v>2.1704242643854083E-2</v>
      </c>
      <c r="F8" t="s">
        <v>1136</v>
      </c>
      <c r="G8" t="s">
        <v>1137</v>
      </c>
      <c r="H8" t="s">
        <v>66</v>
      </c>
      <c r="L8">
        <f t="shared" si="0"/>
        <v>1.4978191090453456E-2</v>
      </c>
      <c r="N8">
        <f t="shared" si="1"/>
        <v>1.2978191090453456E-2</v>
      </c>
      <c r="P8">
        <f t="shared" si="2"/>
        <v>3.829315403628656E-2</v>
      </c>
      <c r="Q8">
        <f t="shared" si="2"/>
        <v>1.9704242643854085E-2</v>
      </c>
      <c r="S8" t="s">
        <v>1147</v>
      </c>
      <c r="T8">
        <f>INTERCEPT(P3:P26,$N$3:$N$26)</f>
        <v>1.240106975441968E-12</v>
      </c>
      <c r="U8">
        <f>INTERCEPT(Q3:Q26,$N$3:$N$26)</f>
        <v>3.2948990758008279E-13</v>
      </c>
    </row>
    <row r="9" spans="1:27">
      <c r="A9" s="175">
        <v>43312</v>
      </c>
      <c r="B9">
        <v>1.82603032727406E-2</v>
      </c>
      <c r="C9" s="4">
        <v>2.3045576248363706E-2</v>
      </c>
      <c r="E9" t="s">
        <v>0</v>
      </c>
      <c r="F9">
        <f>AVERAGE(B3:B26)</f>
        <v>1.3587847837416895E-2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2"/>
        <v>2.1045576248363708E-2</v>
      </c>
      <c r="S9" t="s">
        <v>1148</v>
      </c>
      <c r="T9">
        <f>INTERCEPT(P27:P61,$N$27:$N$61)</f>
        <v>8.5430160511071884E-3</v>
      </c>
      <c r="U9">
        <f>INTERCEPT(Q27:Q61,$N$27:$N$61)</f>
        <v>2.2698341097407912E-3</v>
      </c>
      <c r="V9" s="30"/>
      <c r="W9" s="30"/>
      <c r="X9" s="30"/>
      <c r="Y9" s="30"/>
      <c r="Z9" s="30"/>
      <c r="AA9" s="30"/>
    </row>
    <row r="10" spans="1:27">
      <c r="A10" s="175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2"/>
        <v>9.3683457767361096E-3</v>
      </c>
      <c r="T10" s="75"/>
      <c r="U10" s="5"/>
      <c r="V10" s="5"/>
      <c r="W10" s="5"/>
      <c r="X10" s="5"/>
      <c r="Y10" s="5"/>
    </row>
    <row r="11" spans="1:27">
      <c r="A11" s="175">
        <v>43373</v>
      </c>
      <c r="B11">
        <v>5.858598070929872E-2</v>
      </c>
      <c r="C11" s="4">
        <v>4.2030082699793019E-2</v>
      </c>
      <c r="E11" t="s">
        <v>1139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2"/>
        <v>4.0030082699793017E-2</v>
      </c>
      <c r="T11" s="5"/>
      <c r="U11" s="5"/>
      <c r="V11" s="5"/>
      <c r="W11" s="5"/>
      <c r="X11" s="5"/>
      <c r="Y11" s="5"/>
    </row>
    <row r="12" spans="1:27">
      <c r="A12" s="175">
        <v>43404</v>
      </c>
      <c r="B12">
        <v>2.8097626721900217E-2</v>
      </c>
      <c r="C12" s="4">
        <v>3.0798915531911573E-2</v>
      </c>
      <c r="E12" t="s">
        <v>1140</v>
      </c>
      <c r="F12" t="s">
        <v>1141</v>
      </c>
      <c r="G12" t="s">
        <v>0</v>
      </c>
      <c r="H12" t="s">
        <v>950</v>
      </c>
      <c r="I12" t="s">
        <v>1142</v>
      </c>
      <c r="J12" t="s">
        <v>74</v>
      </c>
      <c r="L12">
        <f t="shared" si="0"/>
        <v>3.1776326603124558E-2</v>
      </c>
      <c r="N12">
        <f t="shared" si="1"/>
        <v>2.9776326603124556E-2</v>
      </c>
      <c r="P12">
        <f t="shared" si="2"/>
        <v>2.6097626721900219E-2</v>
      </c>
      <c r="Q12">
        <f t="shared" si="2"/>
        <v>2.8798915531911572E-2</v>
      </c>
      <c r="T12" s="5"/>
      <c r="U12" s="5"/>
      <c r="V12" s="5"/>
      <c r="W12" s="5"/>
      <c r="X12" s="5"/>
      <c r="Y12" s="5"/>
    </row>
    <row r="13" spans="1:27">
      <c r="A13" s="175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2"/>
        <v>3.9166272784708328E-2</v>
      </c>
    </row>
    <row r="14" spans="1:27">
      <c r="A14" s="175">
        <v>43465</v>
      </c>
      <c r="B14">
        <v>1.3998952073737587E-2</v>
      </c>
      <c r="C14" s="4">
        <v>1.4883065374822615E-2</v>
      </c>
      <c r="F14" s="4"/>
      <c r="G14" s="30"/>
      <c r="H14" s="30"/>
      <c r="I14" s="30"/>
      <c r="L14">
        <f t="shared" si="0"/>
        <v>1.520296531498619E-2</v>
      </c>
      <c r="N14">
        <f t="shared" si="1"/>
        <v>1.320296531498619E-2</v>
      </c>
      <c r="P14">
        <f t="shared" si="2"/>
        <v>1.1998952073737587E-2</v>
      </c>
      <c r="Q14">
        <f t="shared" si="2"/>
        <v>1.2883065374822615E-2</v>
      </c>
    </row>
    <row r="15" spans="1:27">
      <c r="A15" s="175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2"/>
        <v>6.4278251466594383E-2</v>
      </c>
      <c r="R15" s="30"/>
    </row>
    <row r="16" spans="1:27">
      <c r="A16" s="175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2"/>
        <v>-3.21864616719095E-2</v>
      </c>
    </row>
    <row r="17" spans="1:24">
      <c r="A17" s="175">
        <v>43555</v>
      </c>
      <c r="B17">
        <v>7.3484942321304387E-3</v>
      </c>
      <c r="C17" s="4">
        <v>-1.6102862911855004E-2</v>
      </c>
      <c r="L17">
        <f t="shared" si="0"/>
        <v>-2.4588299945670224E-2</v>
      </c>
      <c r="N17">
        <f t="shared" si="1"/>
        <v>-2.6588299945670225E-2</v>
      </c>
      <c r="P17">
        <f t="shared" si="2"/>
        <v>5.3484942321304386E-3</v>
      </c>
      <c r="Q17">
        <f t="shared" si="2"/>
        <v>-1.8102862911855006E-2</v>
      </c>
      <c r="S17" s="30"/>
      <c r="T17" s="30"/>
      <c r="U17" s="30"/>
      <c r="V17" s="30"/>
      <c r="W17" s="30"/>
      <c r="X17" s="30"/>
    </row>
    <row r="18" spans="1:24">
      <c r="A18" s="175">
        <v>43585</v>
      </c>
      <c r="B18">
        <v>1.0549239290376562E-2</v>
      </c>
      <c r="C18" s="4">
        <v>1.1314072096081096E-2</v>
      </c>
      <c r="L18">
        <f t="shared" si="0"/>
        <v>1.1590812609406422E-2</v>
      </c>
      <c r="N18">
        <f t="shared" si="1"/>
        <v>9.5908126094064218E-3</v>
      </c>
      <c r="P18">
        <f t="shared" si="2"/>
        <v>8.5492392903765615E-3</v>
      </c>
      <c r="Q18">
        <f t="shared" si="2"/>
        <v>9.3140720960810958E-3</v>
      </c>
    </row>
    <row r="19" spans="1:24">
      <c r="A19" s="175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2"/>
        <v>2.37958878706565E-2</v>
      </c>
    </row>
    <row r="20" spans="1:24">
      <c r="A20" s="175">
        <v>43646</v>
      </c>
      <c r="B20">
        <v>1.6676807211442182E-2</v>
      </c>
      <c r="C20" s="4">
        <v>1.9896382133415245E-2</v>
      </c>
      <c r="L20">
        <f t="shared" si="0"/>
        <v>2.1061325386307523E-2</v>
      </c>
      <c r="N20">
        <f t="shared" si="1"/>
        <v>1.9061325386307525E-2</v>
      </c>
      <c r="P20">
        <f t="shared" si="2"/>
        <v>1.4676807211442182E-2</v>
      </c>
      <c r="Q20">
        <f t="shared" si="2"/>
        <v>1.7896382133415246E-2</v>
      </c>
    </row>
    <row r="21" spans="1:24">
      <c r="A21" s="175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2"/>
        <v>7.6045124709978665E-2</v>
      </c>
    </row>
    <row r="22" spans="1:24">
      <c r="A22" s="175">
        <v>43708</v>
      </c>
      <c r="B22">
        <v>4.6072876284257124E-2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4.4072876284257122E-2</v>
      </c>
      <c r="Q22">
        <f t="shared" si="2"/>
        <v>3.5500340866408006E-2</v>
      </c>
    </row>
    <row r="23" spans="1:24">
      <c r="A23" s="175">
        <v>43738</v>
      </c>
      <c r="B23">
        <v>-1.2307640461429462E-2</v>
      </c>
      <c r="C23" s="4">
        <v>9.8648634916479565E-3</v>
      </c>
      <c r="L23">
        <f t="shared" si="0"/>
        <v>1.78875713042792E-2</v>
      </c>
      <c r="N23">
        <f t="shared" si="1"/>
        <v>1.5887571304279202E-2</v>
      </c>
      <c r="P23">
        <f t="shared" si="2"/>
        <v>-1.4307640461429462E-2</v>
      </c>
      <c r="Q23">
        <f t="shared" si="2"/>
        <v>7.8648634916479564E-3</v>
      </c>
    </row>
    <row r="24" spans="1:24">
      <c r="A24" s="175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2"/>
        <v>-5.9079838773318419E-2</v>
      </c>
    </row>
    <row r="25" spans="1:24">
      <c r="A25" s="175">
        <v>43799</v>
      </c>
      <c r="B25">
        <v>2.8068455766481544E-2</v>
      </c>
      <c r="C25" s="4">
        <v>3.461586283846748E-2</v>
      </c>
      <c r="L25">
        <f t="shared" si="0"/>
        <v>3.6984920207001989E-2</v>
      </c>
      <c r="N25">
        <f t="shared" si="1"/>
        <v>3.4984920207001988E-2</v>
      </c>
      <c r="P25">
        <f t="shared" si="2"/>
        <v>2.6068455766481542E-2</v>
      </c>
      <c r="Q25">
        <f t="shared" si="2"/>
        <v>3.2615862838467478E-2</v>
      </c>
    </row>
    <row r="26" spans="1:24">
      <c r="A26" s="175">
        <v>43830</v>
      </c>
      <c r="B26">
        <v>-0.10821102856990106</v>
      </c>
      <c r="C26" s="4">
        <v>-9.6340746727904603E-2</v>
      </c>
      <c r="L26">
        <f t="shared" si="0"/>
        <v>-9.2045706209546635E-2</v>
      </c>
      <c r="N26">
        <f t="shared" si="1"/>
        <v>-9.4045706209546637E-2</v>
      </c>
      <c r="P26">
        <f t="shared" si="2"/>
        <v>-0.11021102856990106</v>
      </c>
      <c r="Q26">
        <f t="shared" si="2"/>
        <v>-9.8340746727904604E-2</v>
      </c>
    </row>
    <row r="27" spans="1:24">
      <c r="A27" s="175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2"/>
        <v>9.8066903555539098E-2</v>
      </c>
    </row>
    <row r="28" spans="1:24">
      <c r="A28" s="175">
        <v>43890</v>
      </c>
      <c r="B28">
        <v>6.4838824550135024E-2</v>
      </c>
      <c r="C28" s="4">
        <v>5.8027254394265065E-2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2"/>
        <v>5.6027254394265064E-2</v>
      </c>
    </row>
    <row r="29" spans="1:24">
      <c r="A29" s="175">
        <v>43921</v>
      </c>
      <c r="B29">
        <v>-2.497773036918202E-3</v>
      </c>
      <c r="C29" s="4">
        <v>1.3801614614052273E-2</v>
      </c>
      <c r="L29">
        <f t="shared" si="0"/>
        <v>1.9699244621257505E-2</v>
      </c>
      <c r="N29">
        <f t="shared" si="1"/>
        <v>1.7699244621257507E-2</v>
      </c>
      <c r="P29">
        <f t="shared" si="2"/>
        <v>-4.4977730369182021E-3</v>
      </c>
      <c r="Q29">
        <f t="shared" si="2"/>
        <v>1.1801614614052273E-2</v>
      </c>
    </row>
    <row r="30" spans="1:24">
      <c r="A30" s="175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2"/>
        <v>5.2094783576043538E-2</v>
      </c>
    </row>
    <row r="31" spans="1:24">
      <c r="A31" s="175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2"/>
        <v>-5.5396628727814569E-2</v>
      </c>
    </row>
    <row r="32" spans="1:24">
      <c r="A32" s="175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2"/>
        <v>7.1701745332027944E-2</v>
      </c>
    </row>
    <row r="33" spans="1:17">
      <c r="A33" s="175">
        <v>44043</v>
      </c>
      <c r="B33">
        <v>1.7176910309131019E-2</v>
      </c>
      <c r="C33" s="4">
        <v>2.3418889763075525E-2</v>
      </c>
      <c r="L33">
        <f t="shared" si="0"/>
        <v>2.5677433833579292E-2</v>
      </c>
      <c r="N33">
        <f t="shared" si="1"/>
        <v>2.3677433833579294E-2</v>
      </c>
      <c r="P33">
        <f t="shared" si="2"/>
        <v>1.5176910309131019E-2</v>
      </c>
      <c r="Q33">
        <f t="shared" si="2"/>
        <v>2.1418889763075523E-2</v>
      </c>
    </row>
    <row r="34" spans="1:17">
      <c r="A34" s="175">
        <v>44074</v>
      </c>
      <c r="B34">
        <v>-2.7608979999527234E-2</v>
      </c>
      <c r="C34" s="4">
        <v>-1.9915066608707906E-2</v>
      </c>
      <c r="L34">
        <f t="shared" si="0"/>
        <v>-1.7131167271002879E-2</v>
      </c>
      <c r="N34">
        <f t="shared" si="1"/>
        <v>-1.9131167271002877E-2</v>
      </c>
      <c r="P34">
        <f t="shared" si="2"/>
        <v>-2.9608979999527232E-2</v>
      </c>
      <c r="Q34">
        <f t="shared" si="2"/>
        <v>-2.1915066608707907E-2</v>
      </c>
    </row>
    <row r="35" spans="1:17">
      <c r="A35" s="175">
        <v>44104</v>
      </c>
      <c r="B35">
        <v>3.1934506723313258E-2</v>
      </c>
      <c r="C35" s="4">
        <v>5.0690399599471553E-2</v>
      </c>
      <c r="L35">
        <f t="shared" ref="L35:L61" si="3">SUMPRODUCT($E$13:$F$13,B35:C35)</f>
        <v>5.7476870294385779E-2</v>
      </c>
      <c r="N35">
        <f t="shared" si="1"/>
        <v>5.5476870294385777E-2</v>
      </c>
      <c r="P35">
        <f t="shared" si="2"/>
        <v>2.9934506723313256E-2</v>
      </c>
      <c r="Q35">
        <f t="shared" si="2"/>
        <v>4.8690399599471551E-2</v>
      </c>
    </row>
    <row r="36" spans="1:17">
      <c r="A36" s="175">
        <v>44135</v>
      </c>
      <c r="B36">
        <v>3.7793785341722196E-2</v>
      </c>
      <c r="C36" s="4">
        <v>2.3261634493759217E-2</v>
      </c>
      <c r="L36">
        <f t="shared" si="3"/>
        <v>1.8003446226479342E-2</v>
      </c>
      <c r="N36">
        <f t="shared" si="1"/>
        <v>1.600344622647934E-2</v>
      </c>
      <c r="P36">
        <f t="shared" si="2"/>
        <v>3.5793785341722194E-2</v>
      </c>
      <c r="Q36">
        <f t="shared" si="2"/>
        <v>2.1261634493759216E-2</v>
      </c>
    </row>
    <row r="37" spans="1:17">
      <c r="A37" s="175">
        <v>44165</v>
      </c>
      <c r="B37">
        <v>5.6467149521676377E-2</v>
      </c>
      <c r="C37" s="4">
        <v>5.2320506797257277E-2</v>
      </c>
      <c r="L37">
        <f t="shared" si="3"/>
        <v>5.0820121317485145E-2</v>
      </c>
      <c r="N37">
        <f t="shared" si="1"/>
        <v>4.8820121317485143E-2</v>
      </c>
      <c r="P37">
        <f t="shared" si="2"/>
        <v>5.4467149521676375E-2</v>
      </c>
      <c r="Q37">
        <f t="shared" si="2"/>
        <v>5.0320506797257275E-2</v>
      </c>
    </row>
    <row r="38" spans="1:17">
      <c r="A38" s="175">
        <v>44196</v>
      </c>
      <c r="B38">
        <v>4.1025681414097945E-2</v>
      </c>
      <c r="C38" s="4">
        <v>3.0220902875834364E-2</v>
      </c>
      <c r="L38">
        <f t="shared" si="3"/>
        <v>2.6311394893509872E-2</v>
      </c>
      <c r="N38">
        <f t="shared" si="1"/>
        <v>2.431139489350987E-2</v>
      </c>
      <c r="P38">
        <f t="shared" si="2"/>
        <v>3.9025681414097943E-2</v>
      </c>
      <c r="Q38">
        <f t="shared" si="2"/>
        <v>2.8220902875834362E-2</v>
      </c>
    </row>
    <row r="39" spans="1:17">
      <c r="A39" s="175">
        <v>44227</v>
      </c>
      <c r="B39">
        <v>-1.1082622873503704E-2</v>
      </c>
      <c r="C39" s="4">
        <v>-1.0984221211968284E-2</v>
      </c>
      <c r="L39">
        <f t="shared" si="3"/>
        <v>-1.094861640249585E-2</v>
      </c>
      <c r="N39">
        <f t="shared" si="1"/>
        <v>-1.294861640249585E-2</v>
      </c>
      <c r="P39">
        <f t="shared" si="2"/>
        <v>-1.3082622873503704E-2</v>
      </c>
      <c r="Q39">
        <f t="shared" si="2"/>
        <v>-1.2984221211968284E-2</v>
      </c>
    </row>
    <row r="40" spans="1:17">
      <c r="A40" s="175">
        <v>44255</v>
      </c>
      <c r="B40">
        <v>-8.2724074975737708E-2</v>
      </c>
      <c r="C40" s="4">
        <v>-8.3419313124761293E-2</v>
      </c>
      <c r="L40">
        <f t="shared" si="3"/>
        <v>-8.3670872107076272E-2</v>
      </c>
      <c r="N40">
        <f t="shared" si="1"/>
        <v>-8.5670872107076274E-2</v>
      </c>
      <c r="P40">
        <f t="shared" si="2"/>
        <v>-8.4724074975737709E-2</v>
      </c>
      <c r="Q40">
        <f t="shared" si="2"/>
        <v>-8.5419313124761295E-2</v>
      </c>
    </row>
    <row r="41" spans="1:17">
      <c r="A41" s="175">
        <v>44286</v>
      </c>
      <c r="B41">
        <v>-0.19460373923925212</v>
      </c>
      <c r="C41" s="4">
        <v>-0.16076281455386571</v>
      </c>
      <c r="L41">
        <f t="shared" si="3"/>
        <v>-0.14851810590775752</v>
      </c>
      <c r="N41">
        <f t="shared" si="1"/>
        <v>-0.15051810590775752</v>
      </c>
      <c r="P41">
        <f t="shared" si="2"/>
        <v>-0.19660373923925212</v>
      </c>
      <c r="Q41">
        <f t="shared" si="2"/>
        <v>-0.16276281455386571</v>
      </c>
    </row>
    <row r="42" spans="1:17">
      <c r="A42" s="175">
        <v>44316</v>
      </c>
      <c r="B42">
        <v>0.16932661485258635</v>
      </c>
      <c r="C42" s="4">
        <v>0.17507544730376134</v>
      </c>
      <c r="L42">
        <f t="shared" si="3"/>
        <v>0.17715555531128066</v>
      </c>
      <c r="N42">
        <f t="shared" si="1"/>
        <v>0.17515555531128066</v>
      </c>
      <c r="P42">
        <f t="shared" si="2"/>
        <v>0.16732661485258635</v>
      </c>
      <c r="Q42">
        <f t="shared" si="2"/>
        <v>0.17307544730376134</v>
      </c>
    </row>
    <row r="43" spans="1:17">
      <c r="A43" s="175">
        <v>44347</v>
      </c>
      <c r="B43">
        <v>0.10279527719583466</v>
      </c>
      <c r="C43" s="4">
        <v>4.2789791198676402E-2</v>
      </c>
      <c r="L43">
        <f t="shared" si="3"/>
        <v>2.1077923097134375E-2</v>
      </c>
      <c r="N43">
        <f t="shared" si="1"/>
        <v>1.9077923097134374E-2</v>
      </c>
      <c r="P43">
        <f t="shared" si="2"/>
        <v>0.10079527719583466</v>
      </c>
      <c r="Q43">
        <f t="shared" si="2"/>
        <v>4.0789791198676401E-2</v>
      </c>
    </row>
    <row r="44" spans="1:17">
      <c r="A44" s="175">
        <v>44377</v>
      </c>
      <c r="B44">
        <v>4.6001993861861039E-2</v>
      </c>
      <c r="C44" s="4">
        <v>-2.1140895411832922E-4</v>
      </c>
      <c r="L44">
        <f t="shared" si="3"/>
        <v>-1.6932868497192329E-2</v>
      </c>
      <c r="N44">
        <f t="shared" si="1"/>
        <v>-1.8932868497192328E-2</v>
      </c>
      <c r="P44">
        <f t="shared" si="2"/>
        <v>4.4001993861861037E-2</v>
      </c>
      <c r="Q44">
        <f t="shared" si="2"/>
        <v>-2.2114089541183293E-3</v>
      </c>
    </row>
    <row r="45" spans="1:17">
      <c r="A45" s="175">
        <v>44408</v>
      </c>
      <c r="B45">
        <v>5.0933118745561244E-2</v>
      </c>
      <c r="C45" s="4">
        <v>4.4207106749235212E-2</v>
      </c>
      <c r="L45">
        <f t="shared" si="3"/>
        <v>4.1773424513572022E-2</v>
      </c>
      <c r="N45">
        <f t="shared" si="1"/>
        <v>3.977342451357202E-2</v>
      </c>
      <c r="P45">
        <f t="shared" si="2"/>
        <v>4.8933118745561242E-2</v>
      </c>
      <c r="Q45">
        <f t="shared" si="2"/>
        <v>4.220710674923521E-2</v>
      </c>
    </row>
    <row r="46" spans="1:17">
      <c r="A46" s="175">
        <v>44439</v>
      </c>
      <c r="B46">
        <v>7.8198671209930529E-2</v>
      </c>
      <c r="C46" s="4">
        <v>4.9343947206453034E-2</v>
      </c>
      <c r="L46">
        <f t="shared" si="3"/>
        <v>3.8903402458601626E-2</v>
      </c>
      <c r="N46">
        <f t="shared" si="1"/>
        <v>3.6903402458601624E-2</v>
      </c>
      <c r="P46">
        <f t="shared" si="2"/>
        <v>7.6198671209930527E-2</v>
      </c>
      <c r="Q46">
        <f t="shared" si="2"/>
        <v>4.7343947206453033E-2</v>
      </c>
    </row>
    <row r="47" spans="1:17">
      <c r="A47" s="175">
        <v>44469</v>
      </c>
      <c r="B47">
        <v>-1.620088413147067E-2</v>
      </c>
      <c r="C47" s="4">
        <v>-8.8414284636068249E-3</v>
      </c>
      <c r="L47">
        <f t="shared" si="3"/>
        <v>-6.1785464269981574E-3</v>
      </c>
      <c r="N47">
        <f t="shared" si="1"/>
        <v>-8.1785464269981574E-3</v>
      </c>
      <c r="P47">
        <f t="shared" si="2"/>
        <v>-1.8200884131470668E-2</v>
      </c>
      <c r="Q47">
        <f t="shared" si="2"/>
        <v>-1.0841428463606825E-2</v>
      </c>
    </row>
    <row r="48" spans="1:17">
      <c r="A48" s="175">
        <v>44500</v>
      </c>
      <c r="B48">
        <v>4.3692342697910273E-2</v>
      </c>
      <c r="C48" s="4">
        <v>2.3095390111224903E-3</v>
      </c>
      <c r="L48">
        <f t="shared" si="3"/>
        <v>-1.2664058159011166E-2</v>
      </c>
      <c r="N48">
        <f t="shared" si="1"/>
        <v>-1.4664058159011166E-2</v>
      </c>
      <c r="P48">
        <f t="shared" si="2"/>
        <v>4.1692342697910272E-2</v>
      </c>
      <c r="Q48">
        <f t="shared" si="2"/>
        <v>3.0953901112249025E-4</v>
      </c>
    </row>
    <row r="49" spans="1:17">
      <c r="A49" s="175">
        <v>44530</v>
      </c>
      <c r="B49">
        <v>0.17874612493054837</v>
      </c>
      <c r="C49" s="4">
        <v>0.15408795610704676</v>
      </c>
      <c r="L49">
        <f t="shared" si="3"/>
        <v>0.14516585673188667</v>
      </c>
      <c r="N49">
        <f t="shared" si="1"/>
        <v>0.14316585673188667</v>
      </c>
      <c r="P49">
        <f t="shared" si="2"/>
        <v>0.17674612493054837</v>
      </c>
      <c r="Q49">
        <f t="shared" si="2"/>
        <v>0.15208795610704676</v>
      </c>
    </row>
    <row r="50" spans="1:17">
      <c r="A50" s="175">
        <v>44561</v>
      </c>
      <c r="B50">
        <v>0.10441339017418447</v>
      </c>
      <c r="C50" s="4">
        <v>5.3632977167595394E-2</v>
      </c>
      <c r="L50">
        <f t="shared" si="3"/>
        <v>3.5259030002279458E-2</v>
      </c>
      <c r="N50">
        <f t="shared" si="1"/>
        <v>3.3259030002279456E-2</v>
      </c>
      <c r="P50">
        <f t="shared" si="2"/>
        <v>0.10241339017418447</v>
      </c>
      <c r="Q50">
        <f t="shared" si="2"/>
        <v>5.1632977167595392E-2</v>
      </c>
    </row>
    <row r="51" spans="1:17">
      <c r="A51" s="175">
        <v>44592</v>
      </c>
      <c r="B51">
        <v>3.8333478578069562E-2</v>
      </c>
      <c r="C51" s="4">
        <v>5.1992136263190906E-3</v>
      </c>
      <c r="L51">
        <f t="shared" si="3"/>
        <v>-6.7898033496957833E-3</v>
      </c>
      <c r="N51">
        <f t="shared" si="1"/>
        <v>-8.7898033496957833E-3</v>
      </c>
      <c r="P51">
        <f t="shared" si="2"/>
        <v>3.633347857806956E-2</v>
      </c>
      <c r="Q51">
        <f t="shared" si="2"/>
        <v>3.1992136263190906E-3</v>
      </c>
    </row>
    <row r="52" spans="1:17">
      <c r="A52" s="175">
        <v>44620</v>
      </c>
      <c r="B52">
        <v>9.2324064147121021E-2</v>
      </c>
      <c r="C52" s="4">
        <v>7.8652022646892403E-2</v>
      </c>
      <c r="L52">
        <f t="shared" si="3"/>
        <v>7.3705048936091533E-2</v>
      </c>
      <c r="N52">
        <f t="shared" si="1"/>
        <v>7.1705048936091531E-2</v>
      </c>
      <c r="P52">
        <f t="shared" si="2"/>
        <v>9.0324064147121019E-2</v>
      </c>
      <c r="Q52">
        <f t="shared" si="2"/>
        <v>7.6652022646892401E-2</v>
      </c>
    </row>
    <row r="53" spans="1:17">
      <c r="A53" s="175">
        <v>44651</v>
      </c>
      <c r="B53">
        <v>3.2484093508839101E-2</v>
      </c>
      <c r="C53" s="4">
        <v>6.0653289144261727E-2</v>
      </c>
      <c r="L53">
        <f t="shared" si="3"/>
        <v>7.0845788213293417E-2</v>
      </c>
      <c r="N53">
        <f t="shared" si="1"/>
        <v>6.8845788213293416E-2</v>
      </c>
      <c r="P53">
        <f t="shared" si="2"/>
        <v>3.04840935088391E-2</v>
      </c>
      <c r="Q53">
        <f t="shared" si="2"/>
        <v>5.8653289144261725E-2</v>
      </c>
    </row>
    <row r="54" spans="1:17">
      <c r="A54" s="175">
        <v>44681</v>
      </c>
      <c r="B54">
        <v>5.3439983381125544E-2</v>
      </c>
      <c r="C54" s="4">
        <v>4.7268386769371895E-2</v>
      </c>
      <c r="L54">
        <f t="shared" si="3"/>
        <v>4.5035309420133118E-2</v>
      </c>
      <c r="N54">
        <f t="shared" si="1"/>
        <v>4.3035309420133117E-2</v>
      </c>
      <c r="P54">
        <f t="shared" si="2"/>
        <v>5.1439983381125542E-2</v>
      </c>
      <c r="Q54">
        <f t="shared" si="2"/>
        <v>4.5268386769371893E-2</v>
      </c>
    </row>
    <row r="55" spans="1:17">
      <c r="A55" s="175">
        <v>44712</v>
      </c>
      <c r="B55">
        <v>1.0232096966108618E-2</v>
      </c>
      <c r="C55" s="4">
        <v>3.048766818341981E-3</v>
      </c>
      <c r="L55">
        <f t="shared" si="3"/>
        <v>4.4961252259099246E-4</v>
      </c>
      <c r="N55">
        <f t="shared" si="1"/>
        <v>-1.5503874774090076E-3</v>
      </c>
      <c r="P55">
        <f t="shared" si="2"/>
        <v>8.232096966108618E-3</v>
      </c>
      <c r="Q55">
        <f t="shared" si="2"/>
        <v>1.048766818341981E-3</v>
      </c>
    </row>
    <row r="56" spans="1:17">
      <c r="A56" s="175">
        <v>44742</v>
      </c>
      <c r="B56">
        <v>2.4525390118283561E-2</v>
      </c>
      <c r="C56" s="4">
        <v>3.2925580715202511E-2</v>
      </c>
      <c r="L56">
        <f t="shared" si="3"/>
        <v>3.5965033312532618E-2</v>
      </c>
      <c r="N56">
        <f t="shared" si="1"/>
        <v>3.3965033312532616E-2</v>
      </c>
      <c r="P56">
        <f t="shared" si="2"/>
        <v>2.2525390118283563E-2</v>
      </c>
      <c r="Q56">
        <f t="shared" si="2"/>
        <v>3.0925580715202509E-2</v>
      </c>
    </row>
    <row r="57" spans="1:17">
      <c r="A57" s="175">
        <v>44773</v>
      </c>
      <c r="B57">
        <v>-1.712448410576952E-2</v>
      </c>
      <c r="C57" s="4">
        <v>1.759896553989572E-2</v>
      </c>
      <c r="L57">
        <f t="shared" si="3"/>
        <v>3.0162999414613839E-2</v>
      </c>
      <c r="N57">
        <f t="shared" si="1"/>
        <v>2.8162999414613837E-2</v>
      </c>
      <c r="P57">
        <f t="shared" si="2"/>
        <v>-1.9124484105769522E-2</v>
      </c>
      <c r="Q57">
        <f t="shared" si="2"/>
        <v>1.559896553989572E-2</v>
      </c>
    </row>
    <row r="58" spans="1:17">
      <c r="A58" s="175">
        <v>44804</v>
      </c>
      <c r="B58">
        <v>4.0357519800720262E-2</v>
      </c>
      <c r="C58" s="4">
        <v>2.6591002823204264E-2</v>
      </c>
      <c r="L58">
        <f t="shared" si="3"/>
        <v>2.1609844919614887E-2</v>
      </c>
      <c r="N58">
        <f t="shared" si="1"/>
        <v>1.9609844919614886E-2</v>
      </c>
      <c r="P58">
        <f t="shared" si="2"/>
        <v>3.8357519800720261E-2</v>
      </c>
      <c r="Q58">
        <f t="shared" si="2"/>
        <v>2.4591002823204262E-2</v>
      </c>
    </row>
    <row r="59" spans="1:17">
      <c r="A59" s="175">
        <v>44834</v>
      </c>
      <c r="B59">
        <v>-1.8860921940409944E-2</v>
      </c>
      <c r="C59" s="4">
        <v>-3.1096284108191784E-2</v>
      </c>
      <c r="L59">
        <f t="shared" si="3"/>
        <v>-3.5523422146438111E-2</v>
      </c>
      <c r="N59">
        <f t="shared" si="1"/>
        <v>-3.7523422146438112E-2</v>
      </c>
      <c r="P59">
        <f t="shared" si="2"/>
        <v>-2.0860921940409942E-2</v>
      </c>
      <c r="Q59">
        <f t="shared" si="2"/>
        <v>-3.3096284108191786E-2</v>
      </c>
    </row>
    <row r="60" spans="1:17">
      <c r="A60" s="175">
        <v>44865</v>
      </c>
      <c r="B60">
        <v>5.2638184940862656E-2</v>
      </c>
      <c r="C60" s="4">
        <v>4.9684360835778943E-2</v>
      </c>
      <c r="L60">
        <f t="shared" si="3"/>
        <v>4.8615574569007107E-2</v>
      </c>
      <c r="N60">
        <f t="shared" si="1"/>
        <v>4.6615574569007105E-2</v>
      </c>
      <c r="P60">
        <f t="shared" si="2"/>
        <v>5.0638184940862654E-2</v>
      </c>
      <c r="Q60">
        <f t="shared" si="2"/>
        <v>4.7684360835778941E-2</v>
      </c>
    </row>
    <row r="61" spans="1:17">
      <c r="A61" s="175">
        <v>44895</v>
      </c>
      <c r="B61">
        <v>-4.0956615356035592E-2</v>
      </c>
      <c r="C61" s="4">
        <v>-2.9675948530376126E-2</v>
      </c>
      <c r="L61">
        <f t="shared" si="3"/>
        <v>-2.5594249229952855E-2</v>
      </c>
      <c r="N61">
        <f t="shared" si="1"/>
        <v>-2.7594249229952857E-2</v>
      </c>
      <c r="P61">
        <f t="shared" si="2"/>
        <v>-4.2956615356035593E-2</v>
      </c>
      <c r="Q61">
        <f t="shared" si="2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N1:Q1"/>
    <mergeCell ref="T6:U6"/>
  </mergeCells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12D03-517F-42AA-AE0A-4BA2BA944EC2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7" t="s">
        <v>175</v>
      </c>
      <c r="Q1" s="197"/>
      <c r="R1" s="197"/>
      <c r="S1" s="197"/>
      <c r="T1" s="197"/>
    </row>
    <row r="2" spans="1:30" ht="15" customHeight="1">
      <c r="B2" s="4" t="s">
        <v>1136</v>
      </c>
      <c r="C2" s="4" t="s">
        <v>1137</v>
      </c>
      <c r="D2" s="4"/>
      <c r="E2" s="7" t="s">
        <v>1138</v>
      </c>
      <c r="N2" s="4" t="s">
        <v>1149</v>
      </c>
      <c r="P2" s="4" t="s">
        <v>1145</v>
      </c>
      <c r="Q2" s="4"/>
      <c r="R2" s="4" t="s">
        <v>135</v>
      </c>
      <c r="S2" s="4" t="s">
        <v>1136</v>
      </c>
      <c r="T2" s="4" t="s">
        <v>1137</v>
      </c>
      <c r="V2" t="s">
        <v>276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4.6388423267246494E-2</v>
      </c>
      <c r="H3" t="s">
        <v>79</v>
      </c>
      <c r="N3">
        <f t="shared" ref="N3:N34" si="0">SUMPRODUCT($G$13:$H$13,B3:C3)</f>
        <v>1.1441296642226935E-2</v>
      </c>
      <c r="P3">
        <f>N3-$J$9</f>
        <v>9.4412966422269349E-3</v>
      </c>
      <c r="R3">
        <f>E3-0.002</f>
        <v>4.4388423267246492E-2</v>
      </c>
      <c r="S3">
        <f>B3-$J$9</f>
        <v>1.67E-2</v>
      </c>
      <c r="T3">
        <f>C3-$J$9</f>
        <v>6.1000000000000013E-3</v>
      </c>
      <c r="V3" s="174">
        <f>INTERCEPT(R3:R61,P3:P61)</f>
        <v>-1.4514649165313115E-2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3.3516018203188495E-2</v>
      </c>
      <c r="H4" t="s">
        <v>1136</v>
      </c>
      <c r="I4" t="s">
        <v>1137</v>
      </c>
      <c r="N4">
        <f t="shared" si="0"/>
        <v>2.3302176675428082E-2</v>
      </c>
      <c r="P4">
        <f t="shared" ref="P4:P61" si="1">N4-$J$9</f>
        <v>2.1302176675428081E-2</v>
      </c>
      <c r="R4">
        <f t="shared" ref="R4:R61" si="2">E4-0.002</f>
        <v>3.1516018203188494E-2</v>
      </c>
      <c r="S4">
        <f t="shared" ref="S4:S61" si="3">B4-$J$9</f>
        <v>1.8700000000000001E-2</v>
      </c>
      <c r="T4">
        <f t="shared" ref="T4:T61" si="4">C4-$J$9</f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-3.6586713627368594E-2</v>
      </c>
      <c r="G5" t="s">
        <v>1136</v>
      </c>
      <c r="H5">
        <f>VARP(B3:B61)</f>
        <v>3.5984104280379222E-3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-3.8586713627368596E-2</v>
      </c>
      <c r="S5">
        <f t="shared" si="3"/>
        <v>-5.0000000000000001E-4</v>
      </c>
      <c r="T5">
        <f t="shared" si="4"/>
        <v>-3.5999999999999999E-3</v>
      </c>
      <c r="V5" s="172" t="s">
        <v>1143</v>
      </c>
    </row>
    <row r="6" spans="1:30">
      <c r="A6">
        <v>201704</v>
      </c>
      <c r="B6">
        <v>7.0999999999999995E-3</v>
      </c>
      <c r="C6" s="4">
        <v>7.9000000000000008E-3</v>
      </c>
      <c r="D6" s="4"/>
      <c r="E6">
        <v>-8.4533940251066891E-2</v>
      </c>
      <c r="G6" t="s">
        <v>1137</v>
      </c>
      <c r="H6" s="171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5.0999999999999995E-3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40</v>
      </c>
    </row>
    <row r="8" spans="1:30" ht="15.75" thickBot="1">
      <c r="A8">
        <v>201706</v>
      </c>
      <c r="B8">
        <v>2.4900000000000002E-2</v>
      </c>
      <c r="C8" s="4">
        <v>0.02</v>
      </c>
      <c r="D8" s="4"/>
      <c r="E8">
        <v>2.8621253287678394E-3</v>
      </c>
      <c r="H8" t="s">
        <v>1136</v>
      </c>
      <c r="I8" t="s">
        <v>1137</v>
      </c>
      <c r="J8" t="s">
        <v>66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8.6212532876783939E-4</v>
      </c>
      <c r="S8">
        <f t="shared" si="3"/>
        <v>2.2900000000000004E-2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1.5700000000000002E-2</v>
      </c>
      <c r="D9" s="4"/>
      <c r="E9">
        <v>-6.4546051896818696E-2</v>
      </c>
      <c r="G9" t="s">
        <v>0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1.46913066740447E-2</v>
      </c>
      <c r="P9">
        <f t="shared" si="1"/>
        <v>1.26913066740447E-2</v>
      </c>
      <c r="R9">
        <f t="shared" si="2"/>
        <v>-6.6546051896818698E-2</v>
      </c>
      <c r="S9">
        <f t="shared" si="3"/>
        <v>1.0500000000000001E-2</v>
      </c>
      <c r="T9">
        <f t="shared" si="4"/>
        <v>1.3700000000000002E-2</v>
      </c>
      <c r="V9" s="28"/>
      <c r="W9" s="28" t="s">
        <v>56</v>
      </c>
      <c r="X9" s="28" t="s">
        <v>45</v>
      </c>
      <c r="Y9" s="28" t="s">
        <v>57</v>
      </c>
      <c r="Z9" s="28" t="s">
        <v>58</v>
      </c>
      <c r="AA9" s="28" t="s">
        <v>59</v>
      </c>
      <c r="AB9" s="28" t="s">
        <v>60</v>
      </c>
      <c r="AC9" s="30"/>
      <c r="AD9" s="30"/>
    </row>
    <row r="10" spans="1:30">
      <c r="A10">
        <v>201708</v>
      </c>
      <c r="B10">
        <v>-1.0900000000000002E-2</v>
      </c>
      <c r="C10" s="4">
        <v>-2.5000000000000001E-3</v>
      </c>
      <c r="D10" s="4"/>
      <c r="E10">
        <v>-5.8903893307621306E-3</v>
      </c>
      <c r="N10">
        <f t="shared" si="0"/>
        <v>-5.1478199806326659E-3</v>
      </c>
      <c r="P10">
        <f t="shared" si="1"/>
        <v>-7.1478199806326659E-3</v>
      </c>
      <c r="R10">
        <f t="shared" si="2"/>
        <v>-7.8903893307621306E-3</v>
      </c>
      <c r="S10">
        <f t="shared" si="3"/>
        <v>-1.2900000000000002E-2</v>
      </c>
      <c r="T10">
        <f t="shared" si="4"/>
        <v>-4.5000000000000005E-3</v>
      </c>
      <c r="V10" t="s">
        <v>61</v>
      </c>
      <c r="W10" s="75">
        <v>-1.4514649165110756E-2</v>
      </c>
      <c r="X10" s="5">
        <v>6.6173442728903317E-3</v>
      </c>
      <c r="Y10" s="5">
        <v>-2.1934251214001037</v>
      </c>
      <c r="Z10" s="5">
        <v>3.2445020757407197E-2</v>
      </c>
      <c r="AA10" s="5">
        <v>-2.7770782663199437E-2</v>
      </c>
      <c r="AB10" s="5">
        <v>-1.2585156670220747E-3</v>
      </c>
    </row>
    <row r="11" spans="1:30">
      <c r="A11">
        <v>201709</v>
      </c>
      <c r="B11">
        <v>5.16E-2</v>
      </c>
      <c r="C11" s="4">
        <v>3.1000000000000003E-2</v>
      </c>
      <c r="D11" s="4"/>
      <c r="E11">
        <v>9.3327526987091007E-3</v>
      </c>
      <c r="G11" t="s">
        <v>1139</v>
      </c>
      <c r="N11">
        <f t="shared" si="0"/>
        <v>3.7493463285837254E-2</v>
      </c>
      <c r="P11">
        <f t="shared" si="1"/>
        <v>3.5493463285837253E-2</v>
      </c>
      <c r="R11">
        <f t="shared" si="2"/>
        <v>7.3327526987091007E-3</v>
      </c>
      <c r="S11">
        <f t="shared" si="3"/>
        <v>4.9599999999999998E-2</v>
      </c>
      <c r="T11">
        <f t="shared" si="4"/>
        <v>2.9000000000000005E-2</v>
      </c>
      <c r="V11" t="s">
        <v>62</v>
      </c>
      <c r="W11" s="5">
        <v>-1.4877468961267827E-2</v>
      </c>
      <c r="X11" s="5">
        <v>0.35891494919468764</v>
      </c>
      <c r="Y11" s="5">
        <v>-4.1451237945504975E-2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thickBot="1">
      <c r="A12">
        <v>201710</v>
      </c>
      <c r="B12">
        <v>1.7000000000000001E-2</v>
      </c>
      <c r="C12" s="4">
        <v>1.44E-2</v>
      </c>
      <c r="D12" s="4"/>
      <c r="E12">
        <v>5.6896583050251796E-2</v>
      </c>
      <c r="G12" t="s">
        <v>1140</v>
      </c>
      <c r="H12" t="s">
        <v>1141</v>
      </c>
      <c r="I12" t="s">
        <v>0</v>
      </c>
      <c r="J12" t="s">
        <v>950</v>
      </c>
      <c r="K12" t="s">
        <v>1142</v>
      </c>
      <c r="L12" t="s">
        <v>74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5.4896583050251795E-2</v>
      </c>
      <c r="S12">
        <f t="shared" si="3"/>
        <v>1.5000000000000001E-2</v>
      </c>
      <c r="T12">
        <f t="shared" si="4"/>
        <v>1.24E-2</v>
      </c>
      <c r="V12" s="27" t="s">
        <v>65</v>
      </c>
      <c r="W12" s="173">
        <v>0.99312341926093717</v>
      </c>
      <c r="X12" s="173">
        <v>0.4207331862816539</v>
      </c>
      <c r="Y12" s="173">
        <v>2.3604589598408925</v>
      </c>
      <c r="Z12" s="173">
        <v>2.1760174913734869E-2</v>
      </c>
      <c r="AA12" s="173">
        <v>0.15029356873092092</v>
      </c>
      <c r="AB12" s="173">
        <v>1.8359532697909535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6.8000000000000005E-3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4.8000000000000004E-3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5.4000000000000006E-2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5.2000000000000005E-2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-4.3703362309998404E-2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-4.5703362309998406E-2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-2.0401433289223093E-2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-2.2401433289223095E-2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-6.0204159568362406E-2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-6.2204159568362408E-2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2.4100000000000003E-2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-1.6393220817302795E-2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-1.8393220817302797E-2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1.6614208167150802E-2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1.4614208167150802E-2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2.7290991097458396E-2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2.5290991097458394E-2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2.6400000000000003E-2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2.4400000000000005E-2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0.17754592606984598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0.17554592606984598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4.4500000000000005E-2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4.2500000000000003E-2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1.5700000000000002E-2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3.1039146718312895E-2</v>
      </c>
      <c r="P35">
        <f t="shared" si="1"/>
        <v>2.9039146718312897E-2</v>
      </c>
      <c r="R35">
        <f t="shared" si="2"/>
        <v>6.5972721469506806E-2</v>
      </c>
      <c r="S35">
        <f t="shared" si="3"/>
        <v>1.3700000000000002E-2</v>
      </c>
      <c r="T35">
        <f t="shared" si="4"/>
        <v>3.61E-2</v>
      </c>
    </row>
    <row r="36" spans="1:20">
      <c r="A36">
        <v>201910</v>
      </c>
      <c r="B36">
        <v>1.6399999999999998E-2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1"/>
        <v>1.4742391667819483E-2</v>
      </c>
      <c r="R36">
        <f t="shared" si="2"/>
        <v>-8.738783474727449E-2</v>
      </c>
      <c r="S36">
        <f t="shared" si="3"/>
        <v>1.4399999999999998E-2</v>
      </c>
      <c r="T36">
        <f t="shared" si="4"/>
        <v>1.4899999999999998E-2</v>
      </c>
    </row>
    <row r="37" spans="1:20">
      <c r="A37">
        <v>201911</v>
      </c>
      <c r="B37">
        <v>4.2800000000000005E-2</v>
      </c>
      <c r="C37" s="4">
        <v>3.2400000000000005E-2</v>
      </c>
      <c r="D37" s="4"/>
      <c r="E37">
        <v>1.2258647511408399E-2</v>
      </c>
      <c r="N37">
        <f t="shared" si="5"/>
        <v>3.5678253309354729E-2</v>
      </c>
      <c r="P37">
        <f t="shared" si="1"/>
        <v>3.3678253309354728E-2</v>
      </c>
      <c r="R37">
        <f t="shared" si="2"/>
        <v>1.0258647511408399E-2</v>
      </c>
      <c r="S37">
        <f t="shared" si="3"/>
        <v>4.0800000000000003E-2</v>
      </c>
      <c r="T37">
        <f t="shared" si="4"/>
        <v>3.0400000000000003E-2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1"/>
        <v>2.5128263341172491E-2</v>
      </c>
      <c r="R38">
        <f t="shared" si="2"/>
        <v>-1.0049548420266501E-2</v>
      </c>
      <c r="S38">
        <f t="shared" si="3"/>
        <v>2.2800000000000001E-2</v>
      </c>
      <c r="T38">
        <f t="shared" si="4"/>
        <v>2.6200000000000001E-2</v>
      </c>
    </row>
    <row r="39" spans="1:20">
      <c r="A39">
        <v>202001</v>
      </c>
      <c r="B39">
        <v>-2.7200000000000002E-2</v>
      </c>
      <c r="C39" s="4">
        <v>-2.3199999999999998E-2</v>
      </c>
      <c r="D39" s="4"/>
      <c r="E39">
        <v>6.7291667790955315E-2</v>
      </c>
      <c r="N39">
        <f t="shared" si="5"/>
        <v>-2.4460866657444128E-2</v>
      </c>
      <c r="P39">
        <f t="shared" si="1"/>
        <v>-2.6460866657444126E-2</v>
      </c>
      <c r="R39">
        <f t="shared" si="2"/>
        <v>6.5291667790955313E-2</v>
      </c>
      <c r="S39">
        <f t="shared" si="3"/>
        <v>-2.9200000000000004E-2</v>
      </c>
      <c r="T39">
        <f t="shared" si="4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1"/>
        <v>-9.8343486693412044E-2</v>
      </c>
      <c r="R40">
        <f t="shared" si="2"/>
        <v>-9.2026984485784891E-2</v>
      </c>
      <c r="S40">
        <f t="shared" si="3"/>
        <v>-9.0400000000000008E-2</v>
      </c>
      <c r="T40">
        <f t="shared" si="4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1"/>
        <v>-0.19235758158066649</v>
      </c>
      <c r="R41">
        <f t="shared" si="2"/>
        <v>-0.15467567632833201</v>
      </c>
      <c r="S41">
        <f t="shared" si="3"/>
        <v>-0.21790000000000001</v>
      </c>
      <c r="T41">
        <f t="shared" si="4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1"/>
        <v>0.15755869666989455</v>
      </c>
      <c r="R42">
        <f t="shared" si="2"/>
        <v>0.124884813840761</v>
      </c>
      <c r="S42">
        <f t="shared" si="3"/>
        <v>0.15659999999999999</v>
      </c>
      <c r="T42">
        <f t="shared" si="4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3.0842695879219582E-3</v>
      </c>
      <c r="N43">
        <f t="shared" si="5"/>
        <v>4.9859751568216051E-2</v>
      </c>
      <c r="P43">
        <f t="shared" si="1"/>
        <v>4.785975156821605E-2</v>
      </c>
      <c r="R43">
        <f t="shared" si="2"/>
        <v>1.0842695879219582E-3</v>
      </c>
      <c r="S43">
        <f t="shared" si="3"/>
        <v>7.7100000000000002E-2</v>
      </c>
      <c r="T43">
        <f t="shared" si="4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1"/>
        <v>-6.7719841103323648E-4</v>
      </c>
      <c r="R44">
        <f t="shared" si="2"/>
        <v>-4.0066276223502499E-2</v>
      </c>
      <c r="S44">
        <f t="shared" si="3"/>
        <v>2.2400000000000003E-2</v>
      </c>
      <c r="T44">
        <f t="shared" si="4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1.2967914804698003E-2</v>
      </c>
      <c r="N45">
        <f t="shared" si="5"/>
        <v>3.3977171659519204E-2</v>
      </c>
      <c r="P45">
        <f t="shared" si="1"/>
        <v>3.1977171659519202E-2</v>
      </c>
      <c r="R45">
        <f t="shared" si="2"/>
        <v>1.0967914804698003E-2</v>
      </c>
      <c r="S45">
        <f t="shared" si="3"/>
        <v>3.4099999999999998E-2</v>
      </c>
      <c r="T45">
        <f t="shared" si="4"/>
        <v>3.1E-2</v>
      </c>
    </row>
    <row r="46" spans="1:20">
      <c r="A46">
        <v>202008</v>
      </c>
      <c r="B46">
        <v>5.3499999999999999E-2</v>
      </c>
      <c r="C46" s="4">
        <v>3.1400000000000004E-2</v>
      </c>
      <c r="D46" s="4"/>
      <c r="E46">
        <v>1.1142381118586699E-2</v>
      </c>
      <c r="N46">
        <f t="shared" si="5"/>
        <v>3.8366288282378799E-2</v>
      </c>
      <c r="P46">
        <f t="shared" si="1"/>
        <v>3.6366288282378798E-2</v>
      </c>
      <c r="R46">
        <f t="shared" si="2"/>
        <v>9.1423811185866993E-3</v>
      </c>
      <c r="S46">
        <f t="shared" si="3"/>
        <v>5.1499999999999997E-2</v>
      </c>
      <c r="T46">
        <f t="shared" si="4"/>
        <v>2.9400000000000003E-2</v>
      </c>
    </row>
    <row r="47" spans="1:20">
      <c r="A47">
        <v>202009</v>
      </c>
      <c r="B47">
        <v>-3.2500000000000001E-2</v>
      </c>
      <c r="C47" s="4">
        <v>-2.7000000000000003E-2</v>
      </c>
      <c r="D47" s="4"/>
      <c r="E47">
        <v>-1.8299821732572295E-2</v>
      </c>
      <c r="N47">
        <f t="shared" si="5"/>
        <v>-2.8733691653985677E-2</v>
      </c>
      <c r="P47">
        <f t="shared" si="1"/>
        <v>-3.0733691653985679E-2</v>
      </c>
      <c r="R47">
        <f t="shared" si="2"/>
        <v>-2.0299821732572297E-2</v>
      </c>
      <c r="S47">
        <f t="shared" si="3"/>
        <v>-3.4500000000000003E-2</v>
      </c>
      <c r="T47">
        <f t="shared" si="4"/>
        <v>-2.9000000000000005E-2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1"/>
        <v>2.6282365896584548E-3</v>
      </c>
      <c r="R48">
        <f t="shared" si="2"/>
        <v>-8.9271770332119291E-2</v>
      </c>
      <c r="S48">
        <f t="shared" si="3"/>
        <v>2.5500000000000002E-2</v>
      </c>
      <c r="T48">
        <f t="shared" si="4"/>
        <v>-7.9000000000000008E-3</v>
      </c>
    </row>
    <row r="49" spans="1:20">
      <c r="A49">
        <v>202011</v>
      </c>
      <c r="B49">
        <v>0.17070000000000002</v>
      </c>
      <c r="C49" s="4">
        <v>0.14630000000000001</v>
      </c>
      <c r="D49" s="4"/>
      <c r="E49">
        <v>0.117256088111321</v>
      </c>
      <c r="N49">
        <f t="shared" si="5"/>
        <v>0.1539912866104092</v>
      </c>
      <c r="P49">
        <f t="shared" si="1"/>
        <v>0.1519912866104092</v>
      </c>
      <c r="R49">
        <f t="shared" si="2"/>
        <v>0.115256088111321</v>
      </c>
      <c r="S49">
        <f t="shared" si="3"/>
        <v>0.16870000000000002</v>
      </c>
      <c r="T49">
        <f t="shared" si="4"/>
        <v>0.14430000000000001</v>
      </c>
    </row>
    <row r="50" spans="1:20">
      <c r="A50">
        <v>202012</v>
      </c>
      <c r="B50">
        <v>8.0799999999999997E-2</v>
      </c>
      <c r="C50" s="4">
        <v>4.6200000000000005E-2</v>
      </c>
      <c r="D50" s="4"/>
      <c r="E50">
        <v>1.4106268708126698E-2</v>
      </c>
      <c r="N50">
        <f t="shared" si="5"/>
        <v>5.7106496586891695E-2</v>
      </c>
      <c r="P50">
        <f t="shared" si="1"/>
        <v>5.5106496586891693E-2</v>
      </c>
      <c r="R50">
        <f t="shared" si="2"/>
        <v>1.2106268708126698E-2</v>
      </c>
      <c r="S50">
        <f t="shared" si="3"/>
        <v>7.8799999999999995E-2</v>
      </c>
      <c r="T50">
        <f t="shared" si="4"/>
        <v>4.4200000000000003E-2</v>
      </c>
    </row>
    <row r="51" spans="1:20">
      <c r="A51">
        <v>202101</v>
      </c>
      <c r="B51">
        <v>2.7700000000000002E-2</v>
      </c>
      <c r="C51" s="4">
        <v>-5.9999999999999995E-4</v>
      </c>
      <c r="D51" s="4"/>
      <c r="E51">
        <v>-5.8781434156484604E-2</v>
      </c>
      <c r="N51">
        <f t="shared" si="5"/>
        <v>8.3206316014171958E-3</v>
      </c>
      <c r="P51">
        <f t="shared" si="1"/>
        <v>6.3206316014171957E-3</v>
      </c>
      <c r="R51">
        <f t="shared" si="2"/>
        <v>-6.0781434156484605E-2</v>
      </c>
      <c r="S51">
        <f t="shared" si="3"/>
        <v>2.5700000000000001E-2</v>
      </c>
      <c r="T51">
        <f t="shared" si="4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1"/>
        <v>6.9347826668511178E-2</v>
      </c>
      <c r="R52">
        <f t="shared" si="2"/>
        <v>4.8314414028388011E-3</v>
      </c>
      <c r="S52">
        <f t="shared" si="3"/>
        <v>6.88E-2</v>
      </c>
      <c r="T52">
        <f t="shared" si="4"/>
        <v>6.9599999999999995E-2</v>
      </c>
    </row>
    <row r="53" spans="1:20">
      <c r="A53">
        <v>202103</v>
      </c>
      <c r="B53">
        <v>2.1400000000000002E-2</v>
      </c>
      <c r="C53" s="4">
        <v>4.87E-2</v>
      </c>
      <c r="D53" s="4"/>
      <c r="E53">
        <v>0.11549111139069301</v>
      </c>
      <c r="N53">
        <f t="shared" si="5"/>
        <v>4.009458506294384E-2</v>
      </c>
      <c r="P53">
        <f t="shared" si="1"/>
        <v>3.8094585062943838E-2</v>
      </c>
      <c r="R53">
        <f t="shared" si="2"/>
        <v>0.11349111139069301</v>
      </c>
      <c r="S53">
        <f t="shared" si="3"/>
        <v>1.9400000000000001E-2</v>
      </c>
      <c r="T53">
        <f t="shared" si="4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1"/>
        <v>3.0677171659519192E-2</v>
      </c>
      <c r="R54">
        <f t="shared" si="2"/>
        <v>5.7685559815085906E-2</v>
      </c>
      <c r="S54">
        <f t="shared" si="3"/>
        <v>3.2799999999999996E-2</v>
      </c>
      <c r="T54">
        <f t="shared" si="4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1.9429357670230102E-2</v>
      </c>
      <c r="N55">
        <f t="shared" si="5"/>
        <v>1.8652200083002864E-3</v>
      </c>
      <c r="P55">
        <f t="shared" si="1"/>
        <v>-1.3477999169971369E-4</v>
      </c>
      <c r="R55">
        <f t="shared" si="2"/>
        <v>1.74293576702301E-2</v>
      </c>
      <c r="S55">
        <f t="shared" si="3"/>
        <v>-2.5999999999999999E-3</v>
      </c>
      <c r="T55">
        <f t="shared" si="4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1.4827391542668104E-2</v>
      </c>
      <c r="N56">
        <f t="shared" si="5"/>
        <v>2.2056540058102002E-2</v>
      </c>
      <c r="P56">
        <f t="shared" si="1"/>
        <v>2.0056540058102E-2</v>
      </c>
      <c r="R56">
        <f t="shared" si="2"/>
        <v>1.2827391542668104E-2</v>
      </c>
      <c r="S56">
        <f t="shared" si="3"/>
        <v>2.7999999999999995E-3</v>
      </c>
      <c r="T56">
        <f t="shared" si="4"/>
        <v>2.7999999999999997E-2</v>
      </c>
    </row>
    <row r="57" spans="1:20">
      <c r="A57">
        <v>202107</v>
      </c>
      <c r="B57">
        <v>-2.5400000000000002E-2</v>
      </c>
      <c r="C57" s="4">
        <v>-2.0999999999999999E-3</v>
      </c>
      <c r="D57" s="4"/>
      <c r="E57">
        <v>-4.3406380833571602E-2</v>
      </c>
      <c r="N57">
        <f t="shared" si="5"/>
        <v>-9.4445482796120372E-3</v>
      </c>
      <c r="P57">
        <f t="shared" si="1"/>
        <v>-1.1444548279612037E-2</v>
      </c>
      <c r="R57">
        <f t="shared" si="2"/>
        <v>-4.5406380833571604E-2</v>
      </c>
      <c r="S57">
        <f t="shared" si="3"/>
        <v>-2.7400000000000001E-2</v>
      </c>
      <c r="T57">
        <f t="shared" si="4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1"/>
        <v>1.370760498824126E-2</v>
      </c>
      <c r="R58">
        <f t="shared" si="2"/>
        <v>6.3786820175939021E-5</v>
      </c>
      <c r="S58">
        <f t="shared" si="3"/>
        <v>1.72E-2</v>
      </c>
      <c r="T58">
        <f t="shared" si="4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-1.5047063159504501E-2</v>
      </c>
      <c r="N59">
        <f t="shared" si="5"/>
        <v>-3.5615223352239544E-2</v>
      </c>
      <c r="P59">
        <f t="shared" si="1"/>
        <v>-3.7615223352239546E-2</v>
      </c>
      <c r="R59">
        <f t="shared" si="2"/>
        <v>-1.7047063159504501E-2</v>
      </c>
      <c r="S59">
        <f t="shared" si="3"/>
        <v>-3.2000000000000001E-2</v>
      </c>
      <c r="T59">
        <f t="shared" si="4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1"/>
        <v>3.5823903302437815E-2</v>
      </c>
      <c r="R60">
        <f t="shared" si="2"/>
        <v>-0.1065465130844607</v>
      </c>
      <c r="S60">
        <f t="shared" si="3"/>
        <v>4.4999999999999998E-2</v>
      </c>
      <c r="T60">
        <f t="shared" si="4"/>
        <v>3.1599999999999996E-2</v>
      </c>
    </row>
    <row r="61" spans="1:20">
      <c r="A61">
        <v>202111</v>
      </c>
      <c r="B61">
        <v>-4.7599999999999996E-2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1"/>
        <v>-3.8848901630468197E-2</v>
      </c>
      <c r="R61">
        <f t="shared" si="2"/>
        <v>-1.482509831228794E-2</v>
      </c>
      <c r="S61">
        <f t="shared" si="3"/>
        <v>-4.9599999999999998E-2</v>
      </c>
      <c r="T61">
        <f t="shared" si="4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 r:id="rId1"/>
  <ignoredErrors>
    <ignoredError sqref="N3:N6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D49B-E7BA-4E00-9E31-4AB6B4FF1848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7" t="s">
        <v>175</v>
      </c>
      <c r="S1" s="197"/>
      <c r="T1" s="197"/>
      <c r="U1" s="197"/>
    </row>
    <row r="2" spans="1:31">
      <c r="B2" t="s">
        <v>103</v>
      </c>
      <c r="C2" t="s">
        <v>1156</v>
      </c>
      <c r="D2" t="s">
        <v>1157</v>
      </c>
      <c r="E2" t="s">
        <v>1138</v>
      </c>
      <c r="H2" t="s">
        <v>79</v>
      </c>
      <c r="P2" t="s">
        <v>1144</v>
      </c>
      <c r="R2" t="s">
        <v>1150</v>
      </c>
      <c r="S2" t="s">
        <v>1153</v>
      </c>
      <c r="T2" t="s">
        <v>1151</v>
      </c>
      <c r="U2" t="s">
        <v>1162</v>
      </c>
      <c r="W2" t="s">
        <v>1152</v>
      </c>
    </row>
    <row r="3" spans="1:31">
      <c r="A3">
        <v>201801</v>
      </c>
      <c r="B3">
        <v>5.6900000000000006E-2</v>
      </c>
      <c r="C3">
        <v>-1.11E-2</v>
      </c>
      <c r="D3">
        <v>0.11840000000000001</v>
      </c>
      <c r="E3">
        <v>6.2005627186340097E-2</v>
      </c>
      <c r="H3" t="s">
        <v>103</v>
      </c>
      <c r="I3" t="s">
        <v>1156</v>
      </c>
      <c r="J3" t="s">
        <v>1161</v>
      </c>
      <c r="P3">
        <f>SUMPRODUCT($H$15:$J$15,B3:D3)</f>
        <v>0.12149290929833798</v>
      </c>
      <c r="R3">
        <f>P3-$K$10</f>
        <v>0.11949290929833797</v>
      </c>
      <c r="S3">
        <f>E3-$K$10</f>
        <v>6.0005627186340095E-2</v>
      </c>
      <c r="T3" cm="1">
        <f t="array" ref="T3:T62">B3:B62-$K$10</f>
        <v>5.4900000000000004E-2</v>
      </c>
      <c r="U3">
        <f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-4.3703362309998404E-2</v>
      </c>
      <c r="G4" t="s">
        <v>103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ref="P4:P62" si="0">SUMPRODUCT($H$15:$J$15,B4:D4)</f>
        <v>-6.2209637532604578E-3</v>
      </c>
      <c r="R4">
        <f t="shared" ref="R4:R62" si="1">P4-$K$10</f>
        <v>-8.2209637532604588E-3</v>
      </c>
      <c r="S4">
        <f t="shared" ref="S4:S62" si="2">E4-$K$10</f>
        <v>-4.5703362309998406E-2</v>
      </c>
      <c r="T4">
        <v>-3.7400000000000003E-2</v>
      </c>
      <c r="U4">
        <f t="shared" ref="U4:U62" si="3">C4-D4</f>
        <v>-5.850000000000001E-2</v>
      </c>
    </row>
    <row r="5" spans="1:31" ht="15.75" thickBot="1">
      <c r="A5">
        <v>201803</v>
      </c>
      <c r="B5">
        <v>-2.2400000000000003E-2</v>
      </c>
      <c r="C5">
        <v>-8.0000000000000002E-3</v>
      </c>
      <c r="D5">
        <v>-3.1899999999999998E-2</v>
      </c>
      <c r="E5">
        <v>-2.0401433289223093E-2</v>
      </c>
      <c r="G5" t="s">
        <v>1156</v>
      </c>
      <c r="H5">
        <f>I4</f>
        <v>5.3392272333333364E-3</v>
      </c>
      <c r="I5">
        <f>COVAR($C$3:$C$62,C3:C62)</f>
        <v>1.3624634933333333E-2</v>
      </c>
      <c r="J5">
        <f>COVAR($C$3:$C$62,D3:D62)</f>
        <v>5.0718546333333335E-3</v>
      </c>
      <c r="P5">
        <f t="shared" si="0"/>
        <v>-3.4321007970890174E-2</v>
      </c>
      <c r="R5">
        <f t="shared" si="1"/>
        <v>-3.6321007970890176E-2</v>
      </c>
      <c r="S5">
        <f t="shared" si="2"/>
        <v>-2.2401433289223095E-2</v>
      </c>
      <c r="T5">
        <v>-2.4400000000000005E-2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2.9300000000000003E-2</v>
      </c>
      <c r="D6">
        <v>1.3899999999999999E-2</v>
      </c>
      <c r="E6">
        <v>-6.0204159568362406E-2</v>
      </c>
      <c r="G6" t="s">
        <v>1161</v>
      </c>
      <c r="H6">
        <f>J4</f>
        <v>3.1988164916666667E-3</v>
      </c>
      <c r="I6">
        <f>J5</f>
        <v>5.0718546333333335E-3</v>
      </c>
      <c r="J6">
        <f>VARP(D3:D62)</f>
        <v>4.6244656083333328E-3</v>
      </c>
      <c r="P6">
        <f t="shared" si="0"/>
        <v>-3.4813189435861378E-3</v>
      </c>
      <c r="R6">
        <f t="shared" si="1"/>
        <v>-5.4813189435861378E-3</v>
      </c>
      <c r="S6">
        <f t="shared" si="2"/>
        <v>-6.2204159568362408E-2</v>
      </c>
      <c r="T6">
        <v>2.2000000000000006E-3</v>
      </c>
      <c r="U6">
        <f t="shared" si="3"/>
        <v>1.5400000000000004E-2</v>
      </c>
      <c r="W6" s="176"/>
      <c r="X6" s="176" t="s">
        <v>56</v>
      </c>
      <c r="Y6" s="176" t="s">
        <v>45</v>
      </c>
      <c r="Z6" s="176" t="s">
        <v>57</v>
      </c>
      <c r="AA6" s="176" t="s">
        <v>58</v>
      </c>
      <c r="AB6" s="176" t="s">
        <v>59</v>
      </c>
      <c r="AC6" s="176" t="s">
        <v>60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5.9772485746438578E-2</v>
      </c>
      <c r="R7">
        <f t="shared" si="1"/>
        <v>5.7772485746438576E-2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61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-1.9947558907981174E-2</v>
      </c>
      <c r="AC7">
        <v>1.0163381643940837E-2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-1.6393220817302795E-2</v>
      </c>
      <c r="H8" t="s">
        <v>75</v>
      </c>
      <c r="P8">
        <f t="shared" si="0"/>
        <v>-1.1756329997993566E-2</v>
      </c>
      <c r="R8">
        <f t="shared" si="1"/>
        <v>-1.3756329997993566E-2</v>
      </c>
      <c r="S8">
        <f t="shared" si="2"/>
        <v>-1.8393220817302797E-2</v>
      </c>
      <c r="T8">
        <v>4.1999999999999997E-3</v>
      </c>
      <c r="U8">
        <f t="shared" si="3"/>
        <v>3.5999999999999997E-2</v>
      </c>
      <c r="W8" t="s">
        <v>62</v>
      </c>
      <c r="X8">
        <v>0.62001194042689078</v>
      </c>
      <c r="Y8">
        <v>0.14795561321625647</v>
      </c>
      <c r="Z8">
        <v>4.1905266515347561</v>
      </c>
      <c r="AA8">
        <v>9.7876854091253609E-5</v>
      </c>
      <c r="AB8">
        <v>0.32373593545311724</v>
      </c>
      <c r="AC8">
        <v>0.91628794540066427</v>
      </c>
    </row>
    <row r="9" spans="1:31" ht="15.75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103</v>
      </c>
      <c r="I9" t="s">
        <v>1156</v>
      </c>
      <c r="J9" t="s">
        <v>1161</v>
      </c>
      <c r="K9" t="s">
        <v>93</v>
      </c>
      <c r="P9">
        <f t="shared" si="0"/>
        <v>2.69658910285079E-2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65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0.42112018670397566</v>
      </c>
      <c r="AB9" s="27">
        <v>-0.10854939143463051</v>
      </c>
      <c r="AC9" s="27">
        <v>0.25611827797732528</v>
      </c>
    </row>
    <row r="10" spans="1:31">
      <c r="A10">
        <v>201808</v>
      </c>
      <c r="B10">
        <v>3.6000000000000004E-2</v>
      </c>
      <c r="C10">
        <v>7.000000000000001E-4</v>
      </c>
      <c r="D10">
        <v>0.10009999999999999</v>
      </c>
      <c r="E10">
        <v>1.6614208167150802E-2</v>
      </c>
      <c r="H10">
        <f>AVERAGE(B3:B62)</f>
        <v>8.488333333333339E-3</v>
      </c>
      <c r="I10">
        <f>AVERAGE(C3:C62)</f>
        <v>4.3200000000000018E-3</v>
      </c>
      <c r="J10">
        <f>AVERAGE(D3:D62)</f>
        <v>1.0485E-2</v>
      </c>
      <c r="K10">
        <v>2E-3</v>
      </c>
      <c r="P10">
        <f t="shared" si="0"/>
        <v>8.557942227223779E-2</v>
      </c>
      <c r="R10">
        <f t="shared" si="1"/>
        <v>8.3579422272237788E-2</v>
      </c>
      <c r="S10">
        <f t="shared" si="2"/>
        <v>1.4614208167150802E-2</v>
      </c>
      <c r="T10">
        <v>3.4000000000000002E-2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2.7290991097458396E-2</v>
      </c>
      <c r="P11">
        <f t="shared" si="0"/>
        <v>4.1949051664325818E-3</v>
      </c>
      <c r="R11">
        <f t="shared" si="1"/>
        <v>2.1949051664325817E-3</v>
      </c>
      <c r="S11">
        <f t="shared" si="2"/>
        <v>2.5290991097458394E-2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-0.15789999999999998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6.7999999999999977E-2</v>
      </c>
    </row>
    <row r="13" spans="1:31">
      <c r="A13">
        <v>201811</v>
      </c>
      <c r="B13">
        <v>1.8699999999999998E-2</v>
      </c>
      <c r="C13">
        <v>-8.0000000000000002E-3</v>
      </c>
      <c r="D13">
        <v>1.6500000000000001E-2</v>
      </c>
      <c r="E13">
        <v>8.5294742845796911E-2</v>
      </c>
      <c r="H13" t="s">
        <v>1164</v>
      </c>
      <c r="P13">
        <f t="shared" si="0"/>
        <v>3.0920280137523397E-2</v>
      </c>
      <c r="R13">
        <f t="shared" si="1"/>
        <v>2.8920280137523395E-2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103</v>
      </c>
      <c r="I14" t="s">
        <v>1156</v>
      </c>
      <c r="J14" t="s">
        <v>1161</v>
      </c>
      <c r="K14" t="s">
        <v>0</v>
      </c>
      <c r="L14" t="s">
        <v>950</v>
      </c>
      <c r="M14" t="s">
        <v>122</v>
      </c>
      <c r="N14" t="s">
        <v>74</v>
      </c>
      <c r="P14">
        <f t="shared" si="0"/>
        <v>-7.5893306085323048E-2</v>
      </c>
      <c r="R14">
        <f t="shared" si="1"/>
        <v>-7.789330608532305E-2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0.17754592606984598</v>
      </c>
      <c r="G15" t="s">
        <v>104</v>
      </c>
      <c r="H15">
        <v>1</v>
      </c>
      <c r="I15">
        <v>-0.49878694438871013</v>
      </c>
      <c r="J15">
        <f>-I15</f>
        <v>0.49878694438871013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4.1757840643843677E-2</v>
      </c>
      <c r="R15">
        <f t="shared" si="1"/>
        <v>3.9757840643843675E-2</v>
      </c>
      <c r="S15">
        <f t="shared" si="2"/>
        <v>0.17554592606984598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2.6023775889981279E-2</v>
      </c>
      <c r="R16">
        <f t="shared" si="1"/>
        <v>2.402377588998128E-2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6.7971986247660149E-4</v>
      </c>
      <c r="R17">
        <f t="shared" si="1"/>
        <v>-1.3202801375233985E-3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4.1800000000000004E-2</v>
      </c>
      <c r="C18">
        <v>3.8700000000000005E-2</v>
      </c>
      <c r="D18">
        <v>8.0000000000000002E-3</v>
      </c>
      <c r="E18">
        <v>-1.0882432561696071E-2</v>
      </c>
      <c r="G18" t="s">
        <v>1154</v>
      </c>
      <c r="H18" t="s">
        <v>103</v>
      </c>
      <c r="I18" t="s">
        <v>1155</v>
      </c>
      <c r="P18">
        <f t="shared" si="0"/>
        <v>2.6487240807266599E-2</v>
      </c>
      <c r="R18">
        <f t="shared" si="1"/>
        <v>2.4487240807266601E-2</v>
      </c>
      <c r="S18">
        <f t="shared" si="2"/>
        <v>-1.2882432561696071E-2</v>
      </c>
      <c r="T18">
        <v>3.9800000000000002E-2</v>
      </c>
      <c r="U18">
        <f t="shared" si="3"/>
        <v>3.0700000000000005E-2</v>
      </c>
    </row>
    <row r="19" spans="1:31">
      <c r="A19">
        <v>201905</v>
      </c>
      <c r="B19">
        <v>-6.7300000000000013E-2</v>
      </c>
      <c r="C19">
        <v>-0.17579999999999998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2.7795656866137566E-3</v>
      </c>
      <c r="R19">
        <f t="shared" si="1"/>
        <v>7.7956568661375659E-4</v>
      </c>
      <c r="S19">
        <f t="shared" si="2"/>
        <v>-9.0920448264016587E-2</v>
      </c>
      <c r="T19">
        <v>-6.9300000000000014E-2</v>
      </c>
      <c r="U19">
        <f t="shared" si="3"/>
        <v>-0.14049999999999999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4.3078793635617285E-2</v>
      </c>
      <c r="R21">
        <f t="shared" si="1"/>
        <v>4.1078793635617283E-2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-0.13460000000000003</v>
      </c>
      <c r="D22">
        <v>-3.0999999999999999E-3</v>
      </c>
      <c r="E22">
        <v>-7.9966739127110692E-2</v>
      </c>
      <c r="P22">
        <f t="shared" si="0"/>
        <v>4.1390483187115391E-2</v>
      </c>
      <c r="R22">
        <f t="shared" si="1"/>
        <v>3.939048318711539E-2</v>
      </c>
      <c r="S22">
        <f t="shared" si="2"/>
        <v>-8.1966739127110694E-2</v>
      </c>
      <c r="T22">
        <v>-2.6200000000000001E-2</v>
      </c>
      <c r="U22">
        <f t="shared" si="3"/>
        <v>-0.13150000000000003</v>
      </c>
    </row>
    <row r="23" spans="1:31">
      <c r="A23">
        <v>201909</v>
      </c>
      <c r="B23">
        <v>1.61E-2</v>
      </c>
      <c r="C23">
        <v>5.21E-2</v>
      </c>
      <c r="D23">
        <v>-3.0299999999999997E-2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-4.2300000000000004E-2</v>
      </c>
      <c r="D24">
        <v>-5.5000000000000005E-3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-3.6800000000000006E-2</v>
      </c>
    </row>
    <row r="25" spans="1:31">
      <c r="A25">
        <v>201911</v>
      </c>
      <c r="B25">
        <v>3.9900000000000005E-2</v>
      </c>
      <c r="C25">
        <v>0.05</v>
      </c>
      <c r="D25">
        <v>3.5700000000000003E-2</v>
      </c>
      <c r="E25">
        <v>1.2258647511408399E-2</v>
      </c>
      <c r="P25">
        <f t="shared" si="0"/>
        <v>3.276734669524145E-2</v>
      </c>
      <c r="R25">
        <f t="shared" si="1"/>
        <v>3.0767346695241449E-2</v>
      </c>
      <c r="S25">
        <f t="shared" si="2"/>
        <v>1.0258647511408399E-2</v>
      </c>
      <c r="T25">
        <v>3.7900000000000003E-2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-2.6727283575608378E-3</v>
      </c>
      <c r="R26">
        <f t="shared" si="1"/>
        <v>-4.6727283575608378E-3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2.0000000000000004E-4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-0.12560000000000002</v>
      </c>
      <c r="D28">
        <v>-6.5500000000000003E-2</v>
      </c>
      <c r="E28">
        <v>-9.0026984485784889E-2</v>
      </c>
      <c r="P28">
        <f t="shared" si="0"/>
        <v>-5.0122904642238536E-2</v>
      </c>
      <c r="R28">
        <f t="shared" si="1"/>
        <v>-5.2122904642238538E-2</v>
      </c>
      <c r="S28">
        <f t="shared" si="2"/>
        <v>-9.2026984485784891E-2</v>
      </c>
      <c r="T28">
        <v>-8.210000000000002E-2</v>
      </c>
      <c r="U28">
        <f t="shared" si="3"/>
        <v>-6.0100000000000015E-2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-4.0224657899210876E-2</v>
      </c>
      <c r="R29">
        <f t="shared" si="1"/>
        <v>-4.2224657899210878E-2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-6.9012465117541527E-3</v>
      </c>
      <c r="R30">
        <f t="shared" si="1"/>
        <v>-8.9012465117541528E-3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3.0842695879219582E-3</v>
      </c>
      <c r="P31">
        <f t="shared" si="0"/>
        <v>9.6301742495485537E-2</v>
      </c>
      <c r="R31">
        <f t="shared" si="1"/>
        <v>9.4301742495485535E-2</v>
      </c>
      <c r="S31">
        <f t="shared" si="2"/>
        <v>1.0842695879219582E-3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0.18480000000000002</v>
      </c>
      <c r="D32">
        <v>8.0199999999999994E-2</v>
      </c>
      <c r="E32">
        <v>-3.8066276223502497E-2</v>
      </c>
      <c r="P32">
        <f t="shared" si="0"/>
        <v>-2.7473114383059091E-2</v>
      </c>
      <c r="R32">
        <f t="shared" si="1"/>
        <v>-2.9473114383059093E-2</v>
      </c>
      <c r="S32">
        <f t="shared" si="2"/>
        <v>-4.0066276223502499E-2</v>
      </c>
      <c r="T32">
        <v>2.2699999999999998E-2</v>
      </c>
      <c r="U32">
        <f t="shared" si="3"/>
        <v>0.10460000000000003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1.2967914804698003E-2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1.0967914804698003E-2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0.11460000000000001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-7.4200000000000016E-2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-6.0599999999999994E-2</v>
      </c>
      <c r="E35">
        <v>-1.8299821732572295E-2</v>
      </c>
      <c r="P35">
        <f t="shared" si="0"/>
        <v>-2.8618438445291602E-2</v>
      </c>
      <c r="R35">
        <f t="shared" si="1"/>
        <v>-3.06184384452916E-2</v>
      </c>
      <c r="S35">
        <f t="shared" si="2"/>
        <v>-2.0299821732572297E-2</v>
      </c>
      <c r="T35">
        <v>-3.8200000000000005E-2</v>
      </c>
      <c r="U35">
        <f t="shared" si="3"/>
        <v>-1.5200000000000012E-2</v>
      </c>
    </row>
    <row r="36" spans="1:21">
      <c r="A36">
        <v>202010</v>
      </c>
      <c r="B36">
        <v>-2.0900000000000002E-2</v>
      </c>
      <c r="C36">
        <v>-4.7300000000000009E-2</v>
      </c>
      <c r="D36">
        <v>-3.7400000000000003E-2</v>
      </c>
      <c r="E36">
        <v>-8.7271770332119289E-2</v>
      </c>
      <c r="P36">
        <f t="shared" si="0"/>
        <v>-1.596200925055177E-2</v>
      </c>
      <c r="R36">
        <f t="shared" si="1"/>
        <v>-1.7962009250551768E-2</v>
      </c>
      <c r="S36">
        <f t="shared" si="2"/>
        <v>-8.9271770332119291E-2</v>
      </c>
      <c r="T36">
        <v>-2.2900000000000004E-2</v>
      </c>
      <c r="U36">
        <f t="shared" si="3"/>
        <v>-9.900000000000006E-3</v>
      </c>
    </row>
    <row r="37" spans="1:21">
      <c r="A37">
        <v>202011</v>
      </c>
      <c r="B37">
        <v>0.12480000000000001</v>
      </c>
      <c r="C37">
        <v>0.37140000000000001</v>
      </c>
      <c r="D37">
        <v>0.10400000000000001</v>
      </c>
      <c r="E37">
        <v>0.117256088111321</v>
      </c>
      <c r="P37">
        <f t="shared" si="0"/>
        <v>-8.5756289295410917E-3</v>
      </c>
      <c r="R37">
        <f t="shared" si="1"/>
        <v>-1.0575628929541092E-2</v>
      </c>
      <c r="S37">
        <f t="shared" si="2"/>
        <v>0.115256088111321</v>
      </c>
      <c r="T37">
        <v>0.12280000000000001</v>
      </c>
      <c r="U37">
        <f t="shared" si="3"/>
        <v>0.26739999999999997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1.4106268708126698E-2</v>
      </c>
      <c r="P38">
        <f t="shared" si="0"/>
        <v>3.7721107167636436E-2</v>
      </c>
      <c r="R38">
        <f t="shared" si="1"/>
        <v>3.5721107167636434E-2</v>
      </c>
      <c r="S38">
        <f t="shared" si="2"/>
        <v>1.2106268708126698E-2</v>
      </c>
      <c r="T38">
        <v>4.4399999999999995E-2</v>
      </c>
      <c r="U38">
        <f t="shared" si="3"/>
        <v>1.7400000000000013E-2</v>
      </c>
    </row>
    <row r="39" spans="1:21">
      <c r="A39">
        <v>202101</v>
      </c>
      <c r="B39">
        <v>-1.9999999999999998E-4</v>
      </c>
      <c r="C39">
        <v>6.4699999999999994E-2</v>
      </c>
      <c r="D39">
        <v>2.1100000000000001E-2</v>
      </c>
      <c r="E39">
        <v>-5.8781434156484604E-2</v>
      </c>
      <c r="P39">
        <f t="shared" si="0"/>
        <v>-2.1947110775347757E-2</v>
      </c>
      <c r="R39">
        <f t="shared" si="1"/>
        <v>-2.3947110775347759E-2</v>
      </c>
      <c r="S39">
        <f t="shared" si="2"/>
        <v>-6.0781434156484605E-2</v>
      </c>
      <c r="T39">
        <v>-2.2000000000000001E-3</v>
      </c>
      <c r="U39">
        <f t="shared" si="3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0"/>
        <v>-8.4327305098582023E-2</v>
      </c>
      <c r="R40">
        <f t="shared" si="1"/>
        <v>-8.6327305098582025E-2</v>
      </c>
      <c r="S40">
        <f t="shared" si="2"/>
        <v>4.8314414028388011E-3</v>
      </c>
      <c r="T40">
        <v>2.5799999999999997E-2</v>
      </c>
      <c r="U40">
        <f t="shared" si="3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0.11549111139069301</v>
      </c>
      <c r="P41">
        <f t="shared" si="0"/>
        <v>-2.5213773854852142E-2</v>
      </c>
      <c r="R41">
        <f t="shared" si="1"/>
        <v>-2.7213773854852144E-2</v>
      </c>
      <c r="S41">
        <f t="shared" si="2"/>
        <v>0.11349111139069301</v>
      </c>
      <c r="T41">
        <v>2.8799999999999999E-2</v>
      </c>
      <c r="U41">
        <f t="shared" si="3"/>
        <v>0.1123</v>
      </c>
    </row>
    <row r="42" spans="1:21">
      <c r="A42">
        <v>202104</v>
      </c>
      <c r="B42">
        <v>4.9299999999999997E-2</v>
      </c>
      <c r="C42">
        <v>2.1800000000000003E-2</v>
      </c>
      <c r="D42">
        <v>4.5199999999999997E-2</v>
      </c>
      <c r="E42">
        <v>5.9685559815085908E-2</v>
      </c>
      <c r="P42">
        <f t="shared" si="0"/>
        <v>6.0971614498695807E-2</v>
      </c>
      <c r="R42">
        <f t="shared" si="1"/>
        <v>5.8971614498695805E-2</v>
      </c>
      <c r="S42">
        <f t="shared" si="2"/>
        <v>5.7685559815085906E-2</v>
      </c>
      <c r="T42">
        <v>4.7299999999999995E-2</v>
      </c>
      <c r="U42">
        <f t="shared" si="3"/>
        <v>-2.3399999999999994E-2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1.9429357670230102E-2</v>
      </c>
      <c r="P43">
        <f t="shared" si="0"/>
        <v>-2.0742501164024863E-2</v>
      </c>
      <c r="R43">
        <f t="shared" si="1"/>
        <v>-2.2742501164024861E-2</v>
      </c>
      <c r="S43">
        <f t="shared" si="2"/>
        <v>1.74293576702301E-2</v>
      </c>
      <c r="T43">
        <v>8.9999999999999976E-4</v>
      </c>
      <c r="U43">
        <f t="shared" si="3"/>
        <v>4.7400000000000005E-2</v>
      </c>
    </row>
    <row r="44" spans="1:21">
      <c r="A44">
        <v>202106</v>
      </c>
      <c r="B44">
        <v>2.75E-2</v>
      </c>
      <c r="C44">
        <v>2.3100000000000002E-2</v>
      </c>
      <c r="D44">
        <v>8.9399999999999993E-2</v>
      </c>
      <c r="E44">
        <v>1.4827391542668104E-2</v>
      </c>
      <c r="P44">
        <f t="shared" si="0"/>
        <v>6.0569574412971477E-2</v>
      </c>
      <c r="R44">
        <f t="shared" si="1"/>
        <v>5.8569574412971476E-2</v>
      </c>
      <c r="S44">
        <f t="shared" si="2"/>
        <v>1.2827391542668104E-2</v>
      </c>
      <c r="T44">
        <v>2.5500000000000002E-2</v>
      </c>
      <c r="U44">
        <f t="shared" si="3"/>
        <v>-6.6299999999999998E-2</v>
      </c>
    </row>
    <row r="45" spans="1:21">
      <c r="A45">
        <v>202107</v>
      </c>
      <c r="B45">
        <v>1.2700000000000001E-2</v>
      </c>
      <c r="C45">
        <v>-3.3000000000000004E-3</v>
      </c>
      <c r="D45">
        <v>-4.7999999999999996E-3</v>
      </c>
      <c r="E45">
        <v>-4.3406380833571602E-2</v>
      </c>
      <c r="P45">
        <f t="shared" si="0"/>
        <v>1.1951819583416937E-2</v>
      </c>
      <c r="R45">
        <f t="shared" si="1"/>
        <v>9.9518195834169369E-3</v>
      </c>
      <c r="S45">
        <f t="shared" si="2"/>
        <v>-4.5406380833571604E-2</v>
      </c>
      <c r="T45">
        <v>1.0700000000000001E-2</v>
      </c>
      <c r="U45">
        <f t="shared" si="3"/>
        <v>1.4999999999999992E-3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0"/>
        <v>4.5410333081510823E-2</v>
      </c>
      <c r="R46">
        <f t="shared" si="1"/>
        <v>4.3410333081510821E-2</v>
      </c>
      <c r="S46">
        <f t="shared" si="2"/>
        <v>6.3786820175939021E-5</v>
      </c>
      <c r="T46">
        <v>2.7099999999999999E-2</v>
      </c>
      <c r="U46">
        <f t="shared" si="3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-1.5047063159504501E-2</v>
      </c>
      <c r="P47">
        <f t="shared" si="0"/>
        <v>-4.2203639166833867E-2</v>
      </c>
      <c r="R47">
        <f t="shared" si="1"/>
        <v>-4.4203639166833869E-2</v>
      </c>
      <c r="S47">
        <f t="shared" si="2"/>
        <v>-1.7047063159504501E-2</v>
      </c>
      <c r="T47">
        <v>-4.5700000000000005E-2</v>
      </c>
      <c r="U47">
        <f t="shared" si="3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0"/>
        <v>7.2385685943786776E-2</v>
      </c>
      <c r="R48">
        <f t="shared" si="1"/>
        <v>7.0385685943786774E-2</v>
      </c>
      <c r="S48">
        <f t="shared" si="2"/>
        <v>-0.1065465130844607</v>
      </c>
      <c r="T48">
        <v>6.4500000000000002E-2</v>
      </c>
      <c r="U48">
        <f t="shared" si="3"/>
        <v>-1.1799999999999998E-2</v>
      </c>
    </row>
    <row r="49" spans="1:21">
      <c r="A49">
        <v>202111</v>
      </c>
      <c r="B49">
        <v>-1.5500000000000002E-2</v>
      </c>
      <c r="C49">
        <v>-7.6799999999999993E-2</v>
      </c>
      <c r="D49">
        <v>-2.2000000000000002E-2</v>
      </c>
      <c r="E49">
        <v>-1.282509831228794E-2</v>
      </c>
      <c r="P49">
        <f t="shared" si="0"/>
        <v>1.183352455250131E-2</v>
      </c>
      <c r="R49">
        <f t="shared" si="1"/>
        <v>9.8335245525013101E-3</v>
      </c>
      <c r="S49">
        <f t="shared" si="2"/>
        <v>-1.482509831228794E-2</v>
      </c>
      <c r="T49">
        <v>-1.7500000000000002E-2</v>
      </c>
      <c r="U49">
        <f t="shared" si="3"/>
        <v>-5.4799999999999988E-2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0"/>
        <v>-1.8629058355554402E-2</v>
      </c>
      <c r="R50">
        <f t="shared" si="1"/>
        <v>-2.0629058355554404E-2</v>
      </c>
      <c r="S50">
        <f t="shared" si="2"/>
        <v>2.3732000000000003E-2</v>
      </c>
      <c r="T50">
        <v>2.9100000000000001E-2</v>
      </c>
      <c r="U50">
        <f t="shared" si="3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-0.10960000000000002</v>
      </c>
      <c r="E51">
        <v>1.4357E-2</v>
      </c>
      <c r="P51">
        <f t="shared" si="0"/>
        <v>-8.0356572609115828E-2</v>
      </c>
      <c r="R51">
        <f t="shared" si="1"/>
        <v>-8.235657260911583E-2</v>
      </c>
      <c r="S51">
        <f t="shared" si="2"/>
        <v>1.2357E-2</v>
      </c>
      <c r="T51">
        <v>-6.4500000000000002E-2</v>
      </c>
      <c r="U51">
        <f t="shared" si="3"/>
        <v>3.5800000000000012E-2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0"/>
        <v>1.7202470328852297E-2</v>
      </c>
      <c r="R52">
        <f t="shared" si="1"/>
        <v>1.5202470328852297E-2</v>
      </c>
      <c r="S52">
        <f t="shared" si="2"/>
        <v>-1.2455000000000001E-2</v>
      </c>
      <c r="T52">
        <v>-2.4899999999999999E-2</v>
      </c>
      <c r="U52">
        <f t="shared" si="3"/>
        <v>-8.0400000000000013E-2</v>
      </c>
    </row>
    <row r="53" spans="1:21">
      <c r="A53">
        <v>202203</v>
      </c>
      <c r="B53">
        <v>3.0599999999999995E-2</v>
      </c>
      <c r="C53">
        <v>-2.3E-3</v>
      </c>
      <c r="D53">
        <v>5.1200000000000002E-2</v>
      </c>
      <c r="E53">
        <v>1.2389000000000001E-2</v>
      </c>
      <c r="P53">
        <f t="shared" si="0"/>
        <v>5.7285101524795989E-2</v>
      </c>
      <c r="R53">
        <f t="shared" si="1"/>
        <v>5.5285101524795988E-2</v>
      </c>
      <c r="S53">
        <f t="shared" si="2"/>
        <v>1.0389000000000001E-2</v>
      </c>
      <c r="T53">
        <v>2.8599999999999993E-2</v>
      </c>
      <c r="U53">
        <f t="shared" si="3"/>
        <v>-5.3500000000000006E-2</v>
      </c>
    </row>
    <row r="54" spans="1:21">
      <c r="A54">
        <v>202204</v>
      </c>
      <c r="B54">
        <v>-9.4500000000000015E-2</v>
      </c>
      <c r="C54">
        <v>-0.19890000000000002</v>
      </c>
      <c r="D54">
        <v>-0.12240000000000001</v>
      </c>
      <c r="E54">
        <v>2.6893E-2</v>
      </c>
      <c r="P54">
        <f t="shared" si="0"/>
        <v>-5.6342798754263686E-2</v>
      </c>
      <c r="R54">
        <f t="shared" si="1"/>
        <v>-5.8342798754263687E-2</v>
      </c>
      <c r="S54">
        <f t="shared" si="2"/>
        <v>2.4892999999999998E-2</v>
      </c>
      <c r="T54">
        <v>-9.6500000000000016E-2</v>
      </c>
      <c r="U54">
        <f t="shared" si="3"/>
        <v>-7.6500000000000012E-2</v>
      </c>
    </row>
    <row r="55" spans="1:21">
      <c r="A55">
        <v>202205</v>
      </c>
      <c r="B55">
        <v>-3.1000000000000008E-3</v>
      </c>
      <c r="C55">
        <v>-8.2100000000000006E-2</v>
      </c>
      <c r="D55">
        <v>1.54E-2</v>
      </c>
      <c r="E55">
        <v>3.8353999999999999E-2</v>
      </c>
      <c r="P55">
        <f t="shared" si="0"/>
        <v>4.5531727077899244E-2</v>
      </c>
      <c r="R55">
        <f t="shared" si="1"/>
        <v>4.3531727077899242E-2</v>
      </c>
      <c r="S55">
        <f t="shared" si="2"/>
        <v>3.6353999999999997E-2</v>
      </c>
      <c r="T55">
        <v>-5.1000000000000004E-3</v>
      </c>
      <c r="U55">
        <f t="shared" si="3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0"/>
        <v>-7.9210917500501604E-2</v>
      </c>
      <c r="R56">
        <f t="shared" si="1"/>
        <v>-8.1210917500501606E-2</v>
      </c>
      <c r="S56">
        <f t="shared" si="2"/>
        <v>1.4840000000000001E-3</v>
      </c>
      <c r="T56">
        <v>-8.5699999999999998E-2</v>
      </c>
      <c r="U56">
        <f t="shared" si="3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0"/>
        <v>6.0936490865084986E-2</v>
      </c>
      <c r="R57">
        <f t="shared" si="1"/>
        <v>5.8936490865084984E-2</v>
      </c>
      <c r="S57">
        <f t="shared" si="2"/>
        <v>-2.4329999999999997E-2</v>
      </c>
      <c r="T57">
        <v>9.4500000000000001E-2</v>
      </c>
      <c r="U57">
        <f t="shared" si="3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0"/>
        <v>-1.8392335640834017E-2</v>
      </c>
      <c r="R58">
        <f t="shared" si="1"/>
        <v>-2.0392335640834015E-2</v>
      </c>
      <c r="S58">
        <f t="shared" si="2"/>
        <v>2.1856E-2</v>
      </c>
      <c r="T58">
        <v>-3.78E-2</v>
      </c>
      <c r="U58">
        <f t="shared" si="3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0"/>
        <v>-7.1498886141134976E-2</v>
      </c>
      <c r="R59">
        <f t="shared" si="1"/>
        <v>-7.3498886141134978E-2</v>
      </c>
      <c r="S59">
        <f t="shared" si="2"/>
        <v>1.7432999999999997E-2</v>
      </c>
      <c r="T59">
        <v>-9.3600000000000003E-2</v>
      </c>
      <c r="U59">
        <f t="shared" si="3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0"/>
        <v>0.13621474429934119</v>
      </c>
      <c r="R60">
        <f t="shared" si="1"/>
        <v>0.13421474429934119</v>
      </c>
      <c r="S60">
        <f t="shared" si="2"/>
        <v>2.1789000000000003E-2</v>
      </c>
      <c r="T60">
        <v>7.8600000000000003E-2</v>
      </c>
      <c r="U60">
        <f t="shared" si="3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0"/>
        <v>5.3588597277253874E-2</v>
      </c>
      <c r="R61">
        <f t="shared" si="1"/>
        <v>5.1588597277253873E-2</v>
      </c>
      <c r="S61">
        <f t="shared" si="2"/>
        <v>1.1285E-2</v>
      </c>
      <c r="T61">
        <v>4.6899999999999997E-2</v>
      </c>
      <c r="U61">
        <f t="shared" si="3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0"/>
        <v>-3.7556528391486106E-2</v>
      </c>
      <c r="R62">
        <f t="shared" si="1"/>
        <v>-3.9556528391486108E-2</v>
      </c>
      <c r="S62">
        <f t="shared" si="2"/>
        <v>1.4520000000000002E-3</v>
      </c>
      <c r="T62">
        <v>-6.2799999999999995E-2</v>
      </c>
      <c r="U62">
        <f t="shared" si="3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 cm="1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 cm="1">
        <f t="array" ref="XFD1048562">solver_ntr</f>
        <v>#NAME?</v>
      </c>
    </row>
    <row r="1048563" spans="16384:16384">
      <c r="XFD1048563" t="e" cm="1">
        <f t="array" ref="XFD1048563">solver_acc</f>
        <v>#NAME?</v>
      </c>
    </row>
    <row r="1048564" spans="16384:16384">
      <c r="XFD1048564" t="e" cm="1">
        <f t="array" ref="XFD1048564">solver_res</f>
        <v>#NAME?</v>
      </c>
    </row>
    <row r="1048565" spans="16384:16384">
      <c r="XFD1048565" t="e" cm="1">
        <f t="array" ref="XFD1048565">solver_ars</f>
        <v>#NAME?</v>
      </c>
    </row>
    <row r="1048566" spans="16384:16384">
      <c r="XFD1048566" t="e" cm="1">
        <f t="array" ref="XFD1048566">solver_sta</f>
        <v>#NAME?</v>
      </c>
    </row>
    <row r="1048567" spans="16384:16384">
      <c r="XFD1048567" t="e" cm="1">
        <f t="array" ref="XFD1048567">solver_met</f>
        <v>#NAME?</v>
      </c>
    </row>
    <row r="1048568" spans="16384:16384">
      <c r="XFD1048568" t="e" cm="1">
        <f t="array" ref="XFD1048568">solver_soc</f>
        <v>#NAME?</v>
      </c>
    </row>
    <row r="1048569" spans="16384:16384">
      <c r="XFD1048569" t="e" cm="1">
        <f t="array" ref="XFD1048569">solver_lpt</f>
        <v>#NAME?</v>
      </c>
    </row>
    <row r="1048570" spans="16384:16384">
      <c r="XFD1048570" t="e" cm="1">
        <f t="array" ref="XFD1048570">solver_lpp</f>
        <v>#NAME?</v>
      </c>
    </row>
    <row r="1048571" spans="16384:16384">
      <c r="XFD1048571" t="e" cm="1">
        <f t="array" ref="XFD1048571">solver_gap</f>
        <v>#NAME?</v>
      </c>
    </row>
    <row r="1048572" spans="16384:16384">
      <c r="XFD1048572" t="e" cm="1">
        <f t="array" ref="XFD1048572">solver_ips</f>
        <v>#NAME?</v>
      </c>
    </row>
    <row r="1048573" spans="16384:16384">
      <c r="XFD1048573" t="e" cm="1">
        <f t="array" ref="XFD1048573">solver_fea</f>
        <v>#NAME?</v>
      </c>
    </row>
    <row r="1048574" spans="16384:16384">
      <c r="XFD1048574" t="e" cm="1">
        <f t="array" ref="XFD1048574">solver_ipi</f>
        <v>#NAME?</v>
      </c>
    </row>
    <row r="1048575" spans="16384:16384">
      <c r="XFD1048575" t="e" cm="1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F94696E3-BC0B-40AD-A14F-D03846C3073C}">
          <xm:f>'10-Zero Cost I'!1:1048576</xm:f>
        </x15:webExtension>
        <x15:webExtension appRef="{AE2A1D5B-2CE9-45CF-8BEB-C313B914242C}">
          <xm:f>'10-Zero Cost I'!XFD1048550:XFD1048575</xm:f>
        </x15:webExtension>
        <x15:webExtension appRef="{B216DAFF-3BF8-49BA-A103-D9E7901FA368}">
          <xm:f>'10-Zero Cost I'!$N$15</xm:f>
        </x15:webExtension>
        <x15:webExtension appRef="{953A8931-FDC2-4529-A922-EE4266ADAD5C}">
          <xm:f>'10-Zero Cost I'!$I$15</xm:f>
        </x15:webExtension>
      </x15:webExtens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B62CE-56DC-4019-B455-1D608BF1F32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103</v>
      </c>
      <c r="C2" t="s">
        <v>1162</v>
      </c>
      <c r="D2" t="s">
        <v>1138</v>
      </c>
      <c r="G2" t="s">
        <v>79</v>
      </c>
    </row>
    <row r="3" spans="1:11">
      <c r="A3">
        <v>201801</v>
      </c>
      <c r="B3">
        <v>5.6900000000000006E-2</v>
      </c>
      <c r="C3">
        <v>0.1295</v>
      </c>
      <c r="D3">
        <v>6.2005627186340097E-2</v>
      </c>
      <c r="G3" t="s">
        <v>103</v>
      </c>
      <c r="H3" t="s">
        <v>1163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-4.3703362309998404E-2</v>
      </c>
      <c r="F4" t="s">
        <v>103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-2.2400000000000003E-2</v>
      </c>
      <c r="C5">
        <v>-2.3899999999999998E-2</v>
      </c>
      <c r="D5">
        <v>-2.0401433289223093E-2</v>
      </c>
      <c r="F5" t="s">
        <v>1163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-1.5400000000000004E-2</v>
      </c>
      <c r="D6">
        <v>-6.0204159568362406E-2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75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-1.6393220817302795E-2</v>
      </c>
      <c r="G8" t="s">
        <v>103</v>
      </c>
      <c r="H8" t="s">
        <v>1163</v>
      </c>
      <c r="I8" t="s">
        <v>93</v>
      </c>
    </row>
    <row r="9" spans="1:11">
      <c r="A9">
        <v>201807</v>
      </c>
      <c r="B9">
        <v>3.3500000000000002E-2</v>
      </c>
      <c r="C9">
        <v>-1.3099999999999999E-2</v>
      </c>
      <c r="D9">
        <v>3.2437389442292297E-2</v>
      </c>
      <c r="G9">
        <f>AVERAGE(B3:B62)</f>
        <v>8.488333333333339E-3</v>
      </c>
      <c r="H9">
        <f>AVERAGE(C3:C62)</f>
        <v>6.1650000000000038E-3</v>
      </c>
      <c r="I9">
        <v>2E-3</v>
      </c>
    </row>
    <row r="10" spans="1:11">
      <c r="A10">
        <v>201808</v>
      </c>
      <c r="B10">
        <v>3.6000000000000004E-2</v>
      </c>
      <c r="C10">
        <v>9.9399999999999988E-2</v>
      </c>
      <c r="D10">
        <v>1.6614208167150802E-2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2.7290991097458396E-2</v>
      </c>
      <c r="G11" t="s">
        <v>1164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103</v>
      </c>
      <c r="H12" t="s">
        <v>1163</v>
      </c>
      <c r="I12" t="s">
        <v>0</v>
      </c>
      <c r="J12" t="s">
        <v>1142</v>
      </c>
      <c r="K12" t="s">
        <v>74</v>
      </c>
    </row>
    <row r="13" spans="1:11">
      <c r="A13">
        <v>201811</v>
      </c>
      <c r="B13">
        <v>1.8699999999999998E-2</v>
      </c>
      <c r="C13">
        <v>2.4500000000000001E-2</v>
      </c>
      <c r="D13">
        <v>8.5294742845796911E-2</v>
      </c>
      <c r="F13" t="s">
        <v>104</v>
      </c>
      <c r="G13">
        <v>1</v>
      </c>
      <c r="H13">
        <v>0.49878694192667222</v>
      </c>
      <c r="I13">
        <f>SUMPRODUCT(G13:H13,G9:H9)</f>
        <v>1.1563354830311276E-2</v>
      </c>
      <c r="J13">
        <f>SQRT(SUMPRODUCT(MMULT(G13:H13,G4:H5),G13:H13))</f>
        <v>5.4324472166843801E-2</v>
      </c>
      <c r="K13">
        <f>(I13-I9)/J13</f>
        <v>0.17604137599238634</v>
      </c>
    </row>
    <row r="14" spans="1:11">
      <c r="A14">
        <v>201812</v>
      </c>
      <c r="B14">
        <v>-9.3700000000000006E-2</v>
      </c>
      <c r="C14">
        <v>3.5699999999999996E-2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0.17754592606984598</v>
      </c>
    </row>
    <row r="16" spans="1:11">
      <c r="A16">
        <v>201902</v>
      </c>
      <c r="B16">
        <v>3.5799999999999998E-2</v>
      </c>
      <c r="C16">
        <v>-1.9600000000000006E-2</v>
      </c>
      <c r="D16">
        <v>3.4572792351278893E-2</v>
      </c>
      <c r="F16" t="s">
        <v>1154</v>
      </c>
      <c r="G16" t="s">
        <v>103</v>
      </c>
      <c r="H16" t="s">
        <v>1155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0.17604137599238634</v>
      </c>
    </row>
    <row r="18" spans="1:8">
      <c r="A18">
        <v>201904</v>
      </c>
      <c r="B18">
        <v>4.1800000000000004E-2</v>
      </c>
      <c r="C18">
        <v>-3.0700000000000005E-2</v>
      </c>
      <c r="D18">
        <v>-1.0882432561696071E-2</v>
      </c>
    </row>
    <row r="19" spans="1:8">
      <c r="A19">
        <v>201905</v>
      </c>
      <c r="B19">
        <v>-6.7300000000000013E-2</v>
      </c>
      <c r="C19">
        <v>0.14049999999999999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0.13150000000000003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3.6800000000000006E-2</v>
      </c>
      <c r="D24">
        <v>-8.5387834747274488E-2</v>
      </c>
    </row>
    <row r="25" spans="1:8">
      <c r="A25">
        <v>201911</v>
      </c>
      <c r="B25">
        <v>3.9900000000000005E-2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2.0000000000000004E-4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6.0100000000000015E-2</v>
      </c>
      <c r="D28">
        <v>-9.0026984485784889E-2</v>
      </c>
    </row>
    <row r="29" spans="1:8">
      <c r="A29">
        <v>202003</v>
      </c>
      <c r="B29">
        <v>-0.1326</v>
      </c>
      <c r="C29">
        <v>0.18519999999999998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3.0842695879219582E-3</v>
      </c>
    </row>
    <row r="32" spans="1:8">
      <c r="A32">
        <v>202006</v>
      </c>
      <c r="B32">
        <v>2.47E-2</v>
      </c>
      <c r="C32">
        <v>-0.10460000000000003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1.2967914804698003E-2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1.5200000000000012E-2</v>
      </c>
      <c r="D35">
        <v>-1.8299821732572295E-2</v>
      </c>
    </row>
    <row r="36" spans="1:4">
      <c r="A36">
        <v>202010</v>
      </c>
      <c r="B36">
        <v>-2.0900000000000002E-2</v>
      </c>
      <c r="C36">
        <v>9.900000000000006E-3</v>
      </c>
      <c r="D36">
        <v>-8.7271770332119289E-2</v>
      </c>
    </row>
    <row r="37" spans="1:4">
      <c r="A37">
        <v>202011</v>
      </c>
      <c r="B37">
        <v>0.12480000000000001</v>
      </c>
      <c r="C37">
        <v>-0.26739999999999997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-1.7400000000000013E-2</v>
      </c>
      <c r="D38">
        <v>1.4106268708126698E-2</v>
      </c>
    </row>
    <row r="39" spans="1:4">
      <c r="A39">
        <v>202101</v>
      </c>
      <c r="B39">
        <v>-1.9999999999999998E-4</v>
      </c>
      <c r="C39">
        <v>-4.3599999999999993E-2</v>
      </c>
      <c r="D39">
        <v>-5.8781434156484604E-2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0.11549111139069301</v>
      </c>
    </row>
    <row r="42" spans="1:4">
      <c r="A42">
        <v>202104</v>
      </c>
      <c r="B42">
        <v>4.9299999999999997E-2</v>
      </c>
      <c r="C42">
        <v>2.3399999999999994E-2</v>
      </c>
      <c r="D42">
        <v>5.9685559815085908E-2</v>
      </c>
    </row>
    <row r="43" spans="1:4">
      <c r="A43">
        <v>202105</v>
      </c>
      <c r="B43">
        <v>2.8999999999999998E-3</v>
      </c>
      <c r="C43">
        <v>-4.7400000000000005E-2</v>
      </c>
      <c r="D43">
        <v>1.9429357670230102E-2</v>
      </c>
    </row>
    <row r="44" spans="1:4">
      <c r="A44">
        <v>202106</v>
      </c>
      <c r="B44">
        <v>2.75E-2</v>
      </c>
      <c r="C44">
        <v>6.6299999999999998E-2</v>
      </c>
      <c r="D44">
        <v>1.4827391542668104E-2</v>
      </c>
    </row>
    <row r="45" spans="1:4">
      <c r="A45">
        <v>202107</v>
      </c>
      <c r="B45">
        <v>1.2700000000000001E-2</v>
      </c>
      <c r="C45">
        <v>-1.4999999999999992E-3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3.0000000000000027E-3</v>
      </c>
      <c r="D47">
        <v>-1.5047063159504501E-2</v>
      </c>
    </row>
    <row r="48" spans="1:4">
      <c r="A48">
        <v>202110</v>
      </c>
      <c r="B48">
        <v>6.6500000000000004E-2</v>
      </c>
      <c r="C48">
        <v>1.1799999999999998E-2</v>
      </c>
      <c r="D48">
        <v>-0.1045465130844607</v>
      </c>
    </row>
    <row r="49" spans="1:4">
      <c r="A49">
        <v>202111</v>
      </c>
      <c r="B49">
        <v>-1.5500000000000002E-2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3.0599999999999995E-2</v>
      </c>
      <c r="C53">
        <v>5.3500000000000006E-2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-3.1000000000000008E-3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0.11150000000000002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06AC-8526-4AA5-A427-E349B3DB0FC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268</v>
      </c>
      <c r="F1" t="s">
        <v>79</v>
      </c>
      <c r="K1" t="s">
        <v>970</v>
      </c>
      <c r="L1" t="s">
        <v>971</v>
      </c>
      <c r="N1" t="s">
        <v>973</v>
      </c>
    </row>
    <row r="2" spans="1:27" ht="15.75" thickBot="1">
      <c r="B2" s="4" t="s">
        <v>106</v>
      </c>
      <c r="C2" s="4" t="s">
        <v>117</v>
      </c>
      <c r="D2" s="4" t="s">
        <v>267</v>
      </c>
      <c r="E2" s="4"/>
      <c r="G2" t="s">
        <v>106</v>
      </c>
      <c r="H2" t="s">
        <v>117</v>
      </c>
      <c r="K2" t="s">
        <v>166</v>
      </c>
      <c r="L2" t="s">
        <v>166</v>
      </c>
      <c r="P2" t="s">
        <v>969</v>
      </c>
      <c r="Q2" t="s">
        <v>117</v>
      </c>
      <c r="S2" t="s">
        <v>974</v>
      </c>
    </row>
    <row r="3" spans="1:27">
      <c r="A3">
        <v>192701</v>
      </c>
      <c r="B3">
        <v>1.9000000000000002E-3</v>
      </c>
      <c r="C3">
        <v>-5.1000000000000004E-3</v>
      </c>
      <c r="D3">
        <v>-2.3999999999999998E-3</v>
      </c>
      <c r="F3" t="s">
        <v>106</v>
      </c>
      <c r="G3">
        <f>VARP(B3:B1142)</f>
        <v>2.8433340205832576E-3</v>
      </c>
      <c r="H3">
        <f>COVAR(B3:B1142,C3:C1142)</f>
        <v>5.3362904543705666E-4</v>
      </c>
      <c r="K3">
        <f t="shared" ref="K3:K66" si="0">SUMPRODUCT($G$12:$H$12,B3:C3)</f>
        <v>2.1301052500362718E-4</v>
      </c>
      <c r="L3">
        <f>K3-$I$7</f>
        <v>-2.2869894749963727E-3</v>
      </c>
      <c r="N3">
        <f t="shared" ref="N3:N66" si="1">D3-$I$7</f>
        <v>-4.8999999999999998E-3</v>
      </c>
      <c r="P3">
        <f t="shared" ref="P3:P66" si="2">B3-0.0025</f>
        <v>-5.9999999999999984E-4</v>
      </c>
      <c r="Q3">
        <f t="shared" ref="Q3:Q66" si="3">C3</f>
        <v>-5.1000000000000004E-3</v>
      </c>
      <c r="S3" s="28"/>
      <c r="T3" s="28" t="s">
        <v>56</v>
      </c>
      <c r="U3" s="28" t="s">
        <v>45</v>
      </c>
      <c r="V3" s="28" t="s">
        <v>57</v>
      </c>
      <c r="W3" s="28" t="s">
        <v>58</v>
      </c>
      <c r="X3" s="28" t="s">
        <v>59</v>
      </c>
      <c r="Y3" s="28" t="s">
        <v>60</v>
      </c>
      <c r="Z3" s="30"/>
      <c r="AA3" s="30"/>
    </row>
    <row r="4" spans="1:27">
      <c r="A4">
        <v>192702</v>
      </c>
      <c r="B4">
        <v>4.4399999999999995E-2</v>
      </c>
      <c r="C4">
        <v>-2.5000000000000001E-3</v>
      </c>
      <c r="D4">
        <v>7.0099999999999996E-2</v>
      </c>
      <c r="F4" t="s">
        <v>117</v>
      </c>
      <c r="G4">
        <f>H3</f>
        <v>5.3362904543705666E-4</v>
      </c>
      <c r="H4">
        <f>VARP(C3:C1142)</f>
        <v>1.0116080697060636E-3</v>
      </c>
      <c r="K4">
        <f t="shared" si="0"/>
        <v>4.3573044375001771E-2</v>
      </c>
      <c r="L4">
        <f t="shared" ref="L4:L67" si="4">K4-$I$7</f>
        <v>4.1073044375001769E-2</v>
      </c>
      <c r="N4">
        <f t="shared" si="1"/>
        <v>6.7599999999999993E-2</v>
      </c>
      <c r="P4">
        <f t="shared" si="2"/>
        <v>4.1899999999999993E-2</v>
      </c>
      <c r="Q4">
        <f t="shared" si="3"/>
        <v>-2.5000000000000001E-3</v>
      </c>
      <c r="S4" t="s">
        <v>61</v>
      </c>
      <c r="T4" s="49">
        <v>5.1745928506075033E-3</v>
      </c>
      <c r="U4">
        <v>9.925489562267241E-4</v>
      </c>
      <c r="V4">
        <v>5.213438408397753</v>
      </c>
      <c r="W4">
        <v>2.2005958590002333E-7</v>
      </c>
      <c r="X4">
        <v>3.2271595905560106E-3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4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62</v>
      </c>
      <c r="T5">
        <v>0.96738829107258628</v>
      </c>
      <c r="U5">
        <v>1.9434154743955424E-2</v>
      </c>
      <c r="V5">
        <v>49.777739439554047</v>
      </c>
      <c r="W5">
        <v>7.6404359548448478E-288</v>
      </c>
      <c r="X5">
        <v>0.92925745723115594</v>
      </c>
      <c r="Y5">
        <v>1.0055191249140165</v>
      </c>
    </row>
    <row r="6" spans="1:27" ht="15.75" thickBot="1">
      <c r="A6">
        <v>192704</v>
      </c>
      <c r="B6">
        <v>7.1000000000000004E-3</v>
      </c>
      <c r="C6">
        <v>4.8999999999999998E-3</v>
      </c>
      <c r="D6">
        <v>5.4900000000000004E-2</v>
      </c>
      <c r="G6" t="s">
        <v>106</v>
      </c>
      <c r="H6" t="s">
        <v>117</v>
      </c>
      <c r="I6" t="s">
        <v>93</v>
      </c>
      <c r="K6">
        <f t="shared" si="0"/>
        <v>8.720833024996516E-3</v>
      </c>
      <c r="L6">
        <f t="shared" si="4"/>
        <v>6.2208330249965155E-3</v>
      </c>
      <c r="N6">
        <f t="shared" si="1"/>
        <v>5.2400000000000002E-2</v>
      </c>
      <c r="P6">
        <f t="shared" si="2"/>
        <v>4.5999999999999999E-3</v>
      </c>
      <c r="Q6">
        <f t="shared" si="3"/>
        <v>4.8999999999999998E-3</v>
      </c>
      <c r="S6" s="27" t="s">
        <v>65</v>
      </c>
      <c r="T6" s="27">
        <v>0.27228323585069752</v>
      </c>
      <c r="U6" s="27">
        <v>3.2581678549964223E-2</v>
      </c>
      <c r="V6" s="27">
        <v>8.3569431646423418</v>
      </c>
      <c r="W6" s="27">
        <v>1.8578900389280314E-16</v>
      </c>
      <c r="X6" s="27">
        <v>0.20835626874398602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0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4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4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975</v>
      </c>
    </row>
    <row r="9" spans="1:27">
      <c r="A9">
        <v>192707</v>
      </c>
      <c r="B9">
        <v>7.5600000000000001E-2</v>
      </c>
      <c r="C9">
        <v>-3.2500000000000001E-2</v>
      </c>
      <c r="D9">
        <v>0.13140000000000002</v>
      </c>
      <c r="F9" t="s">
        <v>972</v>
      </c>
      <c r="K9">
        <f t="shared" si="0"/>
        <v>6.4849576875023116E-2</v>
      </c>
      <c r="L9">
        <f t="shared" si="4"/>
        <v>6.2349576875023113E-2</v>
      </c>
      <c r="N9">
        <f t="shared" si="1"/>
        <v>0.12890000000000001</v>
      </c>
      <c r="P9">
        <f t="shared" si="2"/>
        <v>7.3099999999999998E-2</v>
      </c>
      <c r="Q9">
        <f t="shared" si="3"/>
        <v>-3.2500000000000001E-2</v>
      </c>
      <c r="T9" s="49">
        <f>INTERCEPT(N3:N1142,L3:L1142)</f>
        <v>5.1745928507025019E-3</v>
      </c>
    </row>
    <row r="10" spans="1:27">
      <c r="A10">
        <v>192708</v>
      </c>
      <c r="B10">
        <v>2.2499999999999999E-2</v>
      </c>
      <c r="C10">
        <v>-6.8999999999999999E-3</v>
      </c>
      <c r="D10">
        <v>5.5400000000000005E-2</v>
      </c>
      <c r="K10">
        <f t="shared" si="0"/>
        <v>2.0217602475004905E-2</v>
      </c>
      <c r="L10">
        <f t="shared" si="4"/>
        <v>1.7717602475004906E-2</v>
      </c>
      <c r="N10">
        <f t="shared" si="1"/>
        <v>5.2900000000000003E-2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4.9699999999999994E-2</v>
      </c>
      <c r="C11">
        <v>-3.6299999999999999E-2</v>
      </c>
      <c r="D11">
        <v>7.3499999999999996E-2</v>
      </c>
      <c r="G11" t="s">
        <v>106</v>
      </c>
      <c r="H11" t="s">
        <v>117</v>
      </c>
      <c r="K11">
        <f t="shared" si="0"/>
        <v>3.7692604325025809E-2</v>
      </c>
      <c r="L11">
        <f t="shared" si="4"/>
        <v>3.5192604325025807E-2</v>
      </c>
      <c r="N11">
        <f t="shared" si="1"/>
        <v>7.0999999999999994E-2</v>
      </c>
      <c r="P11">
        <f t="shared" si="2"/>
        <v>4.7199999999999992E-2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104</v>
      </c>
      <c r="G12">
        <v>1</v>
      </c>
      <c r="H12">
        <v>0.33078224999928879</v>
      </c>
      <c r="K12">
        <f t="shared" si="0"/>
        <v>-3.3587416300015077E-2</v>
      </c>
      <c r="L12">
        <f t="shared" si="4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2.7200000000000002E-2</v>
      </c>
      <c r="D13">
        <v>6.3799999999999996E-2</v>
      </c>
      <c r="F13" s="4" t="s">
        <v>0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4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2.7200000000000002E-2</v>
      </c>
    </row>
    <row r="14" spans="1:27">
      <c r="A14">
        <v>192712</v>
      </c>
      <c r="B14">
        <v>2.3099999999999999E-2</v>
      </c>
      <c r="C14">
        <v>9.7000000000000003E-3</v>
      </c>
      <c r="D14">
        <v>5.0800000000000005E-2</v>
      </c>
      <c r="F14" t="s">
        <v>950</v>
      </c>
      <c r="G14">
        <f>SUMPRODUCT(MMULT(G12:H12,G3:H4),G12:H12)</f>
        <v>3.30705106909354E-3</v>
      </c>
      <c r="K14">
        <f t="shared" si="0"/>
        <v>2.6308587824993099E-2</v>
      </c>
      <c r="L14">
        <f t="shared" si="4"/>
        <v>2.3808587824993101E-2</v>
      </c>
      <c r="N14">
        <f t="shared" si="1"/>
        <v>4.8300000000000003E-2</v>
      </c>
      <c r="P14">
        <f t="shared" si="2"/>
        <v>2.06E-2</v>
      </c>
      <c r="Q14">
        <f t="shared" si="3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1142</v>
      </c>
      <c r="G15">
        <f>SQRT(G14)</f>
        <v>5.7506965396319949E-2</v>
      </c>
      <c r="K15">
        <f t="shared" si="0"/>
        <v>9.7913238499697016E-3</v>
      </c>
      <c r="L15">
        <f t="shared" si="4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74</v>
      </c>
      <c r="G16">
        <f>(G13-I7)/G15</f>
        <v>0.13479599608899082</v>
      </c>
      <c r="K16">
        <f t="shared" si="0"/>
        <v>-2.051411434998535E-2</v>
      </c>
      <c r="L16">
        <f t="shared" si="4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-2.6000000000000003E-3</v>
      </c>
      <c r="D17">
        <v>0.1275</v>
      </c>
      <c r="K17">
        <f t="shared" si="0"/>
        <v>9.013996615000186E-2</v>
      </c>
      <c r="L17">
        <f t="shared" si="4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-2.6000000000000003E-3</v>
      </c>
    </row>
    <row r="18" spans="1:17">
      <c r="A18">
        <v>192804</v>
      </c>
      <c r="B18">
        <v>4.4500000000000005E-2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5.76651335499717E-2</v>
      </c>
      <c r="L18">
        <f t="shared" si="4"/>
        <v>5.5165133549971698E-2</v>
      </c>
      <c r="N18">
        <f t="shared" si="1"/>
        <v>3.4799999999999998E-2</v>
      </c>
      <c r="P18">
        <f t="shared" si="2"/>
        <v>4.2000000000000003E-2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4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-4.5399999999999996E-2</v>
      </c>
      <c r="C20">
        <v>-3.5200000000000002E-2</v>
      </c>
      <c r="D20">
        <v>-3.5400000000000001E-2</v>
      </c>
      <c r="K20">
        <f t="shared" si="0"/>
        <v>-5.704353519997496E-2</v>
      </c>
      <c r="L20">
        <f t="shared" si="4"/>
        <v>-5.9543535199974962E-2</v>
      </c>
      <c r="N20">
        <f t="shared" si="1"/>
        <v>-3.7900000000000003E-2</v>
      </c>
      <c r="P20">
        <f t="shared" si="2"/>
        <v>-4.7899999999999998E-2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-1.3200000000000002E-2</v>
      </c>
      <c r="D21">
        <v>2.1800000000000003E-2</v>
      </c>
      <c r="K21">
        <f t="shared" si="0"/>
        <v>5.0336743000093881E-3</v>
      </c>
      <c r="L21">
        <f t="shared" si="4"/>
        <v>2.5336743000093881E-3</v>
      </c>
      <c r="N21">
        <f t="shared" si="1"/>
        <v>1.9300000000000005E-2</v>
      </c>
      <c r="P21">
        <f t="shared" si="2"/>
        <v>6.8999999999999999E-3</v>
      </c>
      <c r="Q21">
        <f t="shared" si="3"/>
        <v>-1.3200000000000002E-2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4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2.4100000000000003E-2</v>
      </c>
      <c r="D23">
        <v>5.5400000000000005E-2</v>
      </c>
      <c r="K23">
        <f t="shared" si="0"/>
        <v>3.947185222498286E-2</v>
      </c>
      <c r="L23">
        <f t="shared" si="4"/>
        <v>3.6971852224982858E-2</v>
      </c>
      <c r="N23">
        <f t="shared" si="1"/>
        <v>5.2900000000000003E-2</v>
      </c>
      <c r="P23">
        <f t="shared" si="2"/>
        <v>2.9000000000000001E-2</v>
      </c>
      <c r="Q23">
        <f t="shared" si="3"/>
        <v>2.4100000000000003E-2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4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0.12190000000000001</v>
      </c>
      <c r="C25">
        <v>-1.78E-2</v>
      </c>
      <c r="D25">
        <v>0.24360000000000001</v>
      </c>
      <c r="K25">
        <f t="shared" si="0"/>
        <v>0.11601207595001267</v>
      </c>
      <c r="L25">
        <f t="shared" si="4"/>
        <v>0.11351207595001267</v>
      </c>
      <c r="N25">
        <f t="shared" si="1"/>
        <v>0.24110000000000001</v>
      </c>
      <c r="P25">
        <f t="shared" si="2"/>
        <v>0.11940000000000001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4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4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1.9999999999999966E-4</v>
      </c>
      <c r="C28">
        <v>-3.8E-3</v>
      </c>
      <c r="D28">
        <v>3.6000000000000004E-2</v>
      </c>
      <c r="K28">
        <f t="shared" si="0"/>
        <v>-1.0569725499972977E-3</v>
      </c>
      <c r="L28">
        <f t="shared" si="4"/>
        <v>-3.556972549997298E-3</v>
      </c>
      <c r="N28">
        <f t="shared" si="1"/>
        <v>3.3500000000000002E-2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4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4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-5.3700000000000005E-2</v>
      </c>
      <c r="D31">
        <v>-0.1234</v>
      </c>
      <c r="K31">
        <f t="shared" si="0"/>
        <v>-7.7263006824961802E-2</v>
      </c>
      <c r="L31">
        <f t="shared" si="4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-5.3700000000000005E-2</v>
      </c>
    </row>
    <row r="32" spans="1:17">
      <c r="A32">
        <v>192906</v>
      </c>
      <c r="B32">
        <v>0.10219999999999999</v>
      </c>
      <c r="C32">
        <v>-2.1700000000000001E-2</v>
      </c>
      <c r="D32">
        <v>9.3399999999999997E-2</v>
      </c>
      <c r="K32">
        <f t="shared" si="0"/>
        <v>9.5022025175015415E-2</v>
      </c>
      <c r="L32">
        <f t="shared" si="4"/>
        <v>9.2522025175015413E-2</v>
      </c>
      <c r="N32">
        <f t="shared" si="1"/>
        <v>9.0899999999999995E-2</v>
      </c>
      <c r="P32">
        <f t="shared" si="2"/>
        <v>9.9699999999999983E-2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5.4000000000000006E-2</v>
      </c>
      <c r="K33">
        <f t="shared" si="0"/>
        <v>3.5164883375027378E-2</v>
      </c>
      <c r="L33">
        <f t="shared" si="4"/>
        <v>3.2664883375027376E-2</v>
      </c>
      <c r="N33">
        <f t="shared" si="1"/>
        <v>5.1500000000000004E-2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4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-5.1199999999999996E-2</v>
      </c>
      <c r="C35">
        <v>1.18E-2</v>
      </c>
      <c r="D35">
        <v>-3.4300000000000004E-2</v>
      </c>
      <c r="K35">
        <f t="shared" si="0"/>
        <v>-4.7296769450008387E-2</v>
      </c>
      <c r="L35">
        <f t="shared" si="4"/>
        <v>-4.9796769450008389E-2</v>
      </c>
      <c r="N35">
        <f t="shared" si="1"/>
        <v>-3.6800000000000006E-2</v>
      </c>
      <c r="P35">
        <f t="shared" si="2"/>
        <v>-5.3699999999999998E-2</v>
      </c>
      <c r="Q35">
        <f t="shared" si="3"/>
        <v>1.18E-2</v>
      </c>
    </row>
    <row r="36" spans="1:17">
      <c r="A36">
        <v>192910</v>
      </c>
      <c r="B36">
        <v>-0.19660000000000002</v>
      </c>
      <c r="C36">
        <v>-4.0099999999999997E-2</v>
      </c>
      <c r="D36">
        <v>-0.27550000000000002</v>
      </c>
      <c r="K36">
        <f t="shared" si="0"/>
        <v>-0.20986436822497151</v>
      </c>
      <c r="L36">
        <f t="shared" si="4"/>
        <v>-0.21236436822497151</v>
      </c>
      <c r="N36">
        <f t="shared" si="1"/>
        <v>-0.27800000000000002</v>
      </c>
      <c r="P36">
        <f t="shared" si="2"/>
        <v>-0.19910000000000003</v>
      </c>
      <c r="Q36">
        <f t="shared" si="3"/>
        <v>-4.0099999999999997E-2</v>
      </c>
    </row>
    <row r="37" spans="1:17">
      <c r="A37">
        <v>192911</v>
      </c>
      <c r="B37">
        <v>-0.12370000000000002</v>
      </c>
      <c r="C37">
        <v>-1.8100000000000002E-2</v>
      </c>
      <c r="D37">
        <v>-0.1638</v>
      </c>
      <c r="K37">
        <f t="shared" si="0"/>
        <v>-0.12968715872498715</v>
      </c>
      <c r="L37">
        <f t="shared" si="4"/>
        <v>-0.13218715872498715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-4.4800000000000006E-2</v>
      </c>
      <c r="D38">
        <v>4.6800000000000001E-2</v>
      </c>
      <c r="K38">
        <f t="shared" si="0"/>
        <v>2.1809552000318609E-3</v>
      </c>
      <c r="L38">
        <f t="shared" si="4"/>
        <v>-3.1904479996813914E-4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-4.4800000000000006E-2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4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4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3.4100000000000005E-2</v>
      </c>
      <c r="D41">
        <v>8.4700000000000011E-2</v>
      </c>
      <c r="K41">
        <f t="shared" si="0"/>
        <v>8.5779674724975746E-2</v>
      </c>
      <c r="L41">
        <f t="shared" si="4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3.4100000000000005E-2</v>
      </c>
    </row>
    <row r="42" spans="1:17">
      <c r="A42">
        <v>193004</v>
      </c>
      <c r="B42">
        <v>-1.8499999999999999E-2</v>
      </c>
      <c r="C42">
        <v>-3.4999999999999996E-3</v>
      </c>
      <c r="D42">
        <v>-1.38E-2</v>
      </c>
      <c r="K42">
        <f t="shared" si="0"/>
        <v>-1.965773787499751E-2</v>
      </c>
      <c r="L42">
        <f t="shared" si="4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-3.4999999999999996E-3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4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4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-3.4999999999999996E-3</v>
      </c>
      <c r="D45">
        <v>6.2699999999999992E-2</v>
      </c>
      <c r="K45">
        <f t="shared" si="0"/>
        <v>4.2042262125002491E-2</v>
      </c>
      <c r="L45">
        <f t="shared" si="4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-3.4999999999999996E-3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4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-0.12460000000000002</v>
      </c>
      <c r="K47">
        <f t="shared" si="0"/>
        <v>-0.13264336594998422</v>
      </c>
      <c r="L47">
        <f t="shared" si="4"/>
        <v>-0.13514336594998422</v>
      </c>
      <c r="N47">
        <f t="shared" si="1"/>
        <v>-0.12710000000000002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4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4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-2.8700000000000003E-2</v>
      </c>
      <c r="K50">
        <f t="shared" si="0"/>
        <v>-9.2314452849966866E-2</v>
      </c>
      <c r="L50">
        <f t="shared" si="4"/>
        <v>-9.4814452849966868E-2</v>
      </c>
      <c r="N50">
        <f t="shared" si="1"/>
        <v>-3.1200000000000002E-2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4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4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3.0600000000000002E-2</v>
      </c>
      <c r="D53">
        <v>-1.72E-2</v>
      </c>
      <c r="K53">
        <f t="shared" si="0"/>
        <v>-5.2878063150021762E-2</v>
      </c>
      <c r="L53">
        <f t="shared" si="4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3.0600000000000002E-2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4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4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4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-1.5500000000000002E-2</v>
      </c>
      <c r="K57">
        <f t="shared" si="0"/>
        <v>-6.0671344475010602E-2</v>
      </c>
      <c r="L57">
        <f t="shared" si="4"/>
        <v>-6.3171344475010605E-2</v>
      </c>
      <c r="N57">
        <f t="shared" si="1"/>
        <v>-1.8000000000000002E-2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4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4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4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4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4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-1.3500000000000002E-2</v>
      </c>
      <c r="C63">
        <v>3.85E-2</v>
      </c>
      <c r="D63">
        <v>-7.6E-3</v>
      </c>
      <c r="K63">
        <f t="shared" si="0"/>
        <v>-7.6488337502738334E-4</v>
      </c>
      <c r="L63">
        <f t="shared" si="4"/>
        <v>-3.2648833750273834E-3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5.6900000000000006E-2</v>
      </c>
      <c r="C64">
        <v>-2.8700000000000003E-2</v>
      </c>
      <c r="D64">
        <v>1.6899999999999998E-2</v>
      </c>
      <c r="K64">
        <f t="shared" si="0"/>
        <v>4.7406549425020414E-2</v>
      </c>
      <c r="L64">
        <f t="shared" si="4"/>
        <v>4.4906549425020412E-2</v>
      </c>
      <c r="N64">
        <f t="shared" si="1"/>
        <v>1.4399999999999998E-2</v>
      </c>
      <c r="P64">
        <f t="shared" si="2"/>
        <v>5.4400000000000004E-2</v>
      </c>
      <c r="Q64">
        <f t="shared" si="3"/>
        <v>-2.8700000000000003E-2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4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-0.17850000000000002</v>
      </c>
      <c r="C66">
        <v>1.5100000000000001E-2</v>
      </c>
      <c r="D66">
        <v>-0.1099</v>
      </c>
      <c r="K66">
        <f t="shared" si="0"/>
        <v>-0.17350518802501075</v>
      </c>
      <c r="L66">
        <f t="shared" si="4"/>
        <v>-0.17600518802501075</v>
      </c>
      <c r="N66">
        <f t="shared" si="1"/>
        <v>-0.1124</v>
      </c>
      <c r="P66">
        <f t="shared" si="2"/>
        <v>-0.18100000000000002</v>
      </c>
      <c r="Q66">
        <f t="shared" si="3"/>
        <v>1.5100000000000001E-2</v>
      </c>
    </row>
    <row r="67" spans="1:17">
      <c r="A67">
        <v>193205</v>
      </c>
      <c r="B67">
        <v>-0.20450000000000004</v>
      </c>
      <c r="C67">
        <v>4.1200000000000001E-2</v>
      </c>
      <c r="D67">
        <v>-0.13460000000000003</v>
      </c>
      <c r="K67">
        <f t="shared" ref="K67:K130" si="5">SUMPRODUCT($G$12:$H$12,B67:C67)</f>
        <v>-0.19087177130002936</v>
      </c>
      <c r="L67">
        <f t="shared" si="4"/>
        <v>-0.19337177130002936</v>
      </c>
      <c r="N67">
        <f t="shared" ref="N67:N130" si="6">D67-$I$7</f>
        <v>-0.13710000000000003</v>
      </c>
      <c r="P67">
        <f t="shared" ref="P67:P130" si="7">B67-0.0025</f>
        <v>-0.20700000000000005</v>
      </c>
      <c r="Q67">
        <f t="shared" ref="Q67:Q130" si="8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ref="L68:L131" si="9">K68-$I$7</f>
        <v>-8.6715137250013511E-3</v>
      </c>
      <c r="N68">
        <f t="shared" si="6"/>
        <v>8.0999999999999996E-3</v>
      </c>
      <c r="P68">
        <f t="shared" si="7"/>
        <v>-9.2999999999999992E-3</v>
      </c>
      <c r="Q68">
        <f t="shared" si="8"/>
        <v>1.9E-3</v>
      </c>
    </row>
    <row r="69" spans="1:17">
      <c r="A69">
        <v>193207</v>
      </c>
      <c r="B69">
        <v>0.33870000000000006</v>
      </c>
      <c r="C69">
        <v>-4.5899999999999996E-2</v>
      </c>
      <c r="D69">
        <v>0.14099999999999999</v>
      </c>
      <c r="K69">
        <f t="shared" si="5"/>
        <v>0.32351709472503271</v>
      </c>
      <c r="L69">
        <f t="shared" si="9"/>
        <v>0.3210170947250327</v>
      </c>
      <c r="N69">
        <f t="shared" si="6"/>
        <v>0.13849999999999998</v>
      </c>
      <c r="P69">
        <f t="shared" si="7"/>
        <v>0.33620000000000005</v>
      </c>
      <c r="Q69">
        <f t="shared" si="8"/>
        <v>-4.5899999999999996E-2</v>
      </c>
    </row>
    <row r="70" spans="1:17">
      <c r="A70">
        <v>193208</v>
      </c>
      <c r="B70">
        <v>0.37090000000000006</v>
      </c>
      <c r="C70">
        <v>0.1341</v>
      </c>
      <c r="D70">
        <v>0.16870000000000002</v>
      </c>
      <c r="K70">
        <f t="shared" si="5"/>
        <v>0.41525789972490468</v>
      </c>
      <c r="L70">
        <f t="shared" si="9"/>
        <v>0.41275789972490468</v>
      </c>
      <c r="N70">
        <f t="shared" si="6"/>
        <v>0.16620000000000001</v>
      </c>
      <c r="P70">
        <f t="shared" si="7"/>
        <v>0.36840000000000006</v>
      </c>
      <c r="Q70">
        <f t="shared" si="8"/>
        <v>0.1341</v>
      </c>
    </row>
    <row r="71" spans="1:17">
      <c r="A71">
        <v>193209</v>
      </c>
      <c r="B71">
        <v>-2.9099999999999997E-2</v>
      </c>
      <c r="C71">
        <v>-2.0800000000000003E-2</v>
      </c>
      <c r="D71">
        <v>-3.8900000000000004E-2</v>
      </c>
      <c r="K71">
        <f t="shared" si="5"/>
        <v>-3.5980270799985205E-2</v>
      </c>
      <c r="L71">
        <f t="shared" si="9"/>
        <v>-3.8480270799985207E-2</v>
      </c>
      <c r="N71">
        <f t="shared" si="6"/>
        <v>-4.1400000000000006E-2</v>
      </c>
      <c r="P71">
        <f t="shared" si="7"/>
        <v>-3.1599999999999996E-2</v>
      </c>
      <c r="Q71">
        <f t="shared" si="8"/>
        <v>-2.0800000000000003E-2</v>
      </c>
    </row>
    <row r="72" spans="1:17">
      <c r="A72">
        <v>193210</v>
      </c>
      <c r="B72">
        <v>-0.13150000000000001</v>
      </c>
      <c r="C72">
        <v>-2.5600000000000001E-2</v>
      </c>
      <c r="D72">
        <v>-3.0699999999999998E-2</v>
      </c>
      <c r="K72">
        <f t="shared" si="5"/>
        <v>-0.13996802559998181</v>
      </c>
      <c r="L72">
        <f t="shared" si="9"/>
        <v>-0.14246802559998181</v>
      </c>
      <c r="N72">
        <f t="shared" si="6"/>
        <v>-3.32E-2</v>
      </c>
      <c r="P72">
        <f t="shared" si="7"/>
        <v>-0.13400000000000001</v>
      </c>
      <c r="Q72">
        <f t="shared" si="8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-0.20920000000000002</v>
      </c>
      <c r="K73">
        <f t="shared" si="5"/>
        <v>-5.1984355000014221E-2</v>
      </c>
      <c r="L73">
        <f t="shared" si="9"/>
        <v>-5.4484355000014223E-2</v>
      </c>
      <c r="N73">
        <f t="shared" si="6"/>
        <v>-0.21170000000000003</v>
      </c>
      <c r="P73">
        <f t="shared" si="7"/>
        <v>-6.1100000000000002E-2</v>
      </c>
      <c r="Q73">
        <f t="shared" si="8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2.4900000000000002E-2</v>
      </c>
      <c r="K74">
        <f t="shared" si="5"/>
        <v>1.5520413600061456E-2</v>
      </c>
      <c r="L74">
        <f t="shared" si="9"/>
        <v>1.3020413600061455E-2</v>
      </c>
      <c r="N74">
        <f t="shared" si="6"/>
        <v>2.2400000000000003E-2</v>
      </c>
      <c r="P74">
        <f t="shared" si="7"/>
        <v>4.1600000000000005E-2</v>
      </c>
      <c r="Q74">
        <f t="shared" si="8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-3.3100000000000004E-2</v>
      </c>
      <c r="K75">
        <f t="shared" si="5"/>
        <v>1.468392817499552E-2</v>
      </c>
      <c r="L75">
        <f t="shared" si="9"/>
        <v>1.218392817499552E-2</v>
      </c>
      <c r="N75">
        <f t="shared" si="6"/>
        <v>-3.5600000000000007E-2</v>
      </c>
      <c r="P75">
        <f t="shared" si="7"/>
        <v>1.01E-2</v>
      </c>
      <c r="Q75">
        <f t="shared" si="8"/>
        <v>6.3E-3</v>
      </c>
    </row>
    <row r="76" spans="1:17">
      <c r="A76">
        <v>193302</v>
      </c>
      <c r="B76">
        <v>-0.1527</v>
      </c>
      <c r="C76">
        <v>-2.58E-2</v>
      </c>
      <c r="D76">
        <v>-0.16030000000000003</v>
      </c>
      <c r="K76">
        <f t="shared" si="5"/>
        <v>-0.16123418204998166</v>
      </c>
      <c r="L76">
        <f t="shared" si="9"/>
        <v>-0.16373418204998166</v>
      </c>
      <c r="N76">
        <f t="shared" si="6"/>
        <v>-0.16280000000000003</v>
      </c>
      <c r="P76">
        <f t="shared" si="7"/>
        <v>-0.1552</v>
      </c>
      <c r="Q76">
        <f t="shared" si="8"/>
        <v>-2.58E-2</v>
      </c>
    </row>
    <row r="77" spans="1:17">
      <c r="A77">
        <v>193303</v>
      </c>
      <c r="B77">
        <v>3.3299999999999996E-2</v>
      </c>
      <c r="C77">
        <v>3.7900000000000003E-2</v>
      </c>
      <c r="D77">
        <v>8.5099999999999995E-2</v>
      </c>
      <c r="K77">
        <f t="shared" si="5"/>
        <v>4.5836647274973039E-2</v>
      </c>
      <c r="L77">
        <f t="shared" si="9"/>
        <v>4.3336647274973036E-2</v>
      </c>
      <c r="N77">
        <f t="shared" si="6"/>
        <v>8.2599999999999993E-2</v>
      </c>
      <c r="P77">
        <f t="shared" si="7"/>
        <v>3.0799999999999998E-2</v>
      </c>
      <c r="Q77">
        <f t="shared" si="8"/>
        <v>3.7900000000000003E-2</v>
      </c>
    </row>
    <row r="78" spans="1:17">
      <c r="A78">
        <v>193304</v>
      </c>
      <c r="B78">
        <v>0.38950000000000001</v>
      </c>
      <c r="C78">
        <v>3.0699999999999998E-2</v>
      </c>
      <c r="D78">
        <v>0.2671</v>
      </c>
      <c r="K78">
        <f t="shared" si="5"/>
        <v>0.39965501507497819</v>
      </c>
      <c r="L78">
        <f t="shared" si="9"/>
        <v>0.39715501507497819</v>
      </c>
      <c r="N78">
        <f t="shared" si="6"/>
        <v>0.2646</v>
      </c>
      <c r="P78">
        <f t="shared" si="7"/>
        <v>0.38700000000000001</v>
      </c>
      <c r="Q78">
        <f t="shared" si="8"/>
        <v>3.0699999999999998E-2</v>
      </c>
    </row>
    <row r="79" spans="1:17">
      <c r="A79">
        <v>193305</v>
      </c>
      <c r="B79">
        <v>0.2147</v>
      </c>
      <c r="C79">
        <v>0.36560000000000004</v>
      </c>
      <c r="D79">
        <v>0.19270000000000001</v>
      </c>
      <c r="K79">
        <f t="shared" si="5"/>
        <v>0.33563399059973997</v>
      </c>
      <c r="L79">
        <f t="shared" si="9"/>
        <v>0.33313399059973997</v>
      </c>
      <c r="N79">
        <f t="shared" si="6"/>
        <v>0.19020000000000001</v>
      </c>
      <c r="P79">
        <f t="shared" si="7"/>
        <v>0.2122</v>
      </c>
      <c r="Q79">
        <f t="shared" si="8"/>
        <v>0.36560000000000004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9"/>
        <v>0.15665186544994011</v>
      </c>
      <c r="N80">
        <f t="shared" si="6"/>
        <v>0.16789999999999999</v>
      </c>
      <c r="P80">
        <f t="shared" si="7"/>
        <v>0.1288</v>
      </c>
      <c r="Q80">
        <f t="shared" si="8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9"/>
        <v>-0.10207321362499254</v>
      </c>
      <c r="N81">
        <f t="shared" si="6"/>
        <v>-0.13270000000000001</v>
      </c>
      <c r="P81">
        <f t="shared" si="7"/>
        <v>-9.8600000000000007E-2</v>
      </c>
      <c r="Q81">
        <f t="shared" si="8"/>
        <v>-1.0500000000000001E-2</v>
      </c>
    </row>
    <row r="82" spans="1:17">
      <c r="A82">
        <v>193308</v>
      </c>
      <c r="B82">
        <v>0.1208</v>
      </c>
      <c r="C82">
        <v>-5.3899999999999997E-2</v>
      </c>
      <c r="D82">
        <v>0.1749</v>
      </c>
      <c r="K82">
        <f t="shared" si="5"/>
        <v>0.10297083672503834</v>
      </c>
      <c r="L82">
        <f t="shared" si="9"/>
        <v>0.10047083672503834</v>
      </c>
      <c r="N82">
        <f t="shared" si="6"/>
        <v>0.1724</v>
      </c>
      <c r="P82">
        <f t="shared" si="7"/>
        <v>0.1183</v>
      </c>
      <c r="Q82">
        <f t="shared" si="8"/>
        <v>-5.3899999999999997E-2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9"/>
        <v>-0.11012312899999717</v>
      </c>
      <c r="N83">
        <f t="shared" si="6"/>
        <v>-7.3800000000000004E-2</v>
      </c>
      <c r="P83">
        <f t="shared" si="7"/>
        <v>-0.10880000000000001</v>
      </c>
      <c r="Q83">
        <f t="shared" si="8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9"/>
        <v>-8.6661564499998567E-2</v>
      </c>
      <c r="N84">
        <f t="shared" si="6"/>
        <v>-8.3500000000000005E-2</v>
      </c>
      <c r="P84">
        <f t="shared" si="7"/>
        <v>-8.5999999999999993E-2</v>
      </c>
      <c r="Q84">
        <f t="shared" si="8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9"/>
        <v>7.5998388425046026E-2</v>
      </c>
      <c r="N85">
        <f t="shared" si="6"/>
        <v>6.2399999999999997E-2</v>
      </c>
      <c r="P85">
        <f t="shared" si="7"/>
        <v>9.7400000000000014E-2</v>
      </c>
      <c r="Q85">
        <f t="shared" si="8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1.8600000000000002E-2</v>
      </c>
      <c r="K86">
        <f t="shared" si="5"/>
        <v>2.0583928174995519E-2</v>
      </c>
      <c r="L86">
        <f t="shared" si="9"/>
        <v>1.8083928174995521E-2</v>
      </c>
      <c r="N86">
        <f t="shared" si="6"/>
        <v>1.6100000000000003E-2</v>
      </c>
      <c r="P86">
        <f t="shared" si="7"/>
        <v>1.6E-2</v>
      </c>
      <c r="Q86">
        <f t="shared" si="8"/>
        <v>6.3E-3</v>
      </c>
    </row>
    <row r="87" spans="1:17">
      <c r="A87">
        <v>193401</v>
      </c>
      <c r="B87">
        <v>0.1265</v>
      </c>
      <c r="C87">
        <v>0.12689999999999999</v>
      </c>
      <c r="D87">
        <v>0.1245</v>
      </c>
      <c r="K87">
        <f t="shared" si="5"/>
        <v>0.16847626752490974</v>
      </c>
      <c r="L87">
        <f t="shared" si="9"/>
        <v>0.16597626752490974</v>
      </c>
      <c r="N87">
        <f t="shared" si="6"/>
        <v>0.122</v>
      </c>
      <c r="P87">
        <f t="shared" si="7"/>
        <v>0.124</v>
      </c>
      <c r="Q87">
        <f t="shared" si="8"/>
        <v>0.12689999999999999</v>
      </c>
    </row>
    <row r="88" spans="1:17">
      <c r="A88">
        <v>193402</v>
      </c>
      <c r="B88">
        <v>-2.4800000000000003E-2</v>
      </c>
      <c r="C88">
        <v>5.0999999999999997E-2</v>
      </c>
      <c r="D88">
        <v>-1.3000000000000002E-3</v>
      </c>
      <c r="K88">
        <f t="shared" si="5"/>
        <v>-7.9301052500362762E-3</v>
      </c>
      <c r="L88">
        <f t="shared" si="9"/>
        <v>-1.0430105250036277E-2</v>
      </c>
      <c r="N88">
        <f t="shared" si="6"/>
        <v>-3.8000000000000004E-3</v>
      </c>
      <c r="P88">
        <f t="shared" si="7"/>
        <v>-2.7300000000000001E-2</v>
      </c>
      <c r="Q88">
        <f t="shared" si="8"/>
        <v>5.0999999999999997E-2</v>
      </c>
    </row>
    <row r="89" spans="1:17">
      <c r="A89">
        <v>193403</v>
      </c>
      <c r="B89">
        <v>1.1000000000000001E-3</v>
      </c>
      <c r="C89">
        <v>2.5099999999999997E-2</v>
      </c>
      <c r="D89">
        <v>1.0400000000000001E-2</v>
      </c>
      <c r="K89">
        <f t="shared" si="5"/>
        <v>9.4026344749821474E-3</v>
      </c>
      <c r="L89">
        <f t="shared" si="9"/>
        <v>6.9026344749821469E-3</v>
      </c>
      <c r="N89">
        <f t="shared" si="6"/>
        <v>7.9000000000000008E-3</v>
      </c>
      <c r="P89">
        <f t="shared" si="7"/>
        <v>-1.4E-3</v>
      </c>
      <c r="Q89">
        <f t="shared" si="8"/>
        <v>2.5099999999999997E-2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9"/>
        <v>-1.1269644575019416E-2</v>
      </c>
      <c r="N90">
        <f t="shared" si="6"/>
        <v>-7.9299999999999995E-2</v>
      </c>
      <c r="P90">
        <f t="shared" si="7"/>
        <v>-2.0299999999999999E-2</v>
      </c>
      <c r="Q90">
        <f t="shared" si="8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9"/>
        <v>-7.5859268524997928E-2</v>
      </c>
      <c r="N91">
        <f t="shared" si="6"/>
        <v>-8.900000000000001E-2</v>
      </c>
      <c r="P91">
        <f t="shared" si="7"/>
        <v>-7.4899999999999994E-2</v>
      </c>
      <c r="Q91">
        <f t="shared" si="8"/>
        <v>-2.8999999999999998E-3</v>
      </c>
    </row>
    <row r="92" spans="1:17">
      <c r="A92">
        <v>193406</v>
      </c>
      <c r="B92">
        <v>2.6500000000000003E-2</v>
      </c>
      <c r="C92">
        <v>-2.23E-2</v>
      </c>
      <c r="D92">
        <v>2.7000000000000003E-2</v>
      </c>
      <c r="K92">
        <f t="shared" si="5"/>
        <v>1.9123555825015862E-2</v>
      </c>
      <c r="L92">
        <f t="shared" si="9"/>
        <v>1.6623555825015863E-2</v>
      </c>
      <c r="N92">
        <f t="shared" si="6"/>
        <v>2.4500000000000004E-2</v>
      </c>
      <c r="P92">
        <f t="shared" si="7"/>
        <v>2.4000000000000004E-2</v>
      </c>
      <c r="Q92">
        <f t="shared" si="8"/>
        <v>-2.23E-2</v>
      </c>
    </row>
    <row r="93" spans="1:17">
      <c r="A93">
        <v>193407</v>
      </c>
      <c r="B93">
        <v>-0.10950000000000001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9"/>
        <v>-0.13419548897495229</v>
      </c>
      <c r="N93">
        <f t="shared" si="6"/>
        <v>-8.5199999999999998E-2</v>
      </c>
      <c r="P93">
        <f t="shared" si="7"/>
        <v>-0.11200000000000002</v>
      </c>
      <c r="Q93">
        <f t="shared" si="8"/>
        <v>-6.7100000000000007E-2</v>
      </c>
    </row>
    <row r="94" spans="1:17">
      <c r="A94">
        <v>193408</v>
      </c>
      <c r="B94">
        <v>5.5900000000000005E-2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9"/>
        <v>7.0732989899962739E-2</v>
      </c>
      <c r="N94">
        <f t="shared" si="6"/>
        <v>8.14E-2</v>
      </c>
      <c r="P94">
        <f t="shared" si="7"/>
        <v>5.3400000000000003E-2</v>
      </c>
      <c r="Q94">
        <f t="shared" si="8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9"/>
        <v>-9.43018617498983E-3</v>
      </c>
      <c r="N95">
        <f t="shared" si="6"/>
        <v>-1.12E-2</v>
      </c>
      <c r="P95">
        <f t="shared" si="7"/>
        <v>-4.7000000000000002E-3</v>
      </c>
      <c r="Q95">
        <f t="shared" si="8"/>
        <v>-1.43E-2</v>
      </c>
    </row>
    <row r="96" spans="1:17">
      <c r="A96">
        <v>193410</v>
      </c>
      <c r="B96">
        <v>-1.6500000000000001E-2</v>
      </c>
      <c r="C96">
        <v>1.5300000000000001E-2</v>
      </c>
      <c r="D96">
        <v>3.4000000000000002E-2</v>
      </c>
      <c r="K96">
        <f t="shared" si="5"/>
        <v>-1.1439031575010881E-2</v>
      </c>
      <c r="L96">
        <f t="shared" si="9"/>
        <v>-1.3939031575010882E-2</v>
      </c>
      <c r="N96">
        <f t="shared" si="6"/>
        <v>3.15E-2</v>
      </c>
      <c r="P96">
        <f t="shared" si="7"/>
        <v>-1.9E-2</v>
      </c>
      <c r="Q96">
        <f t="shared" si="8"/>
        <v>1.5300000000000001E-2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9"/>
        <v>0.10177235997495512</v>
      </c>
      <c r="N97">
        <f t="shared" si="6"/>
        <v>0.13400000000000001</v>
      </c>
      <c r="P97">
        <f t="shared" si="7"/>
        <v>8.09E-2</v>
      </c>
      <c r="Q97">
        <f t="shared" si="8"/>
        <v>6.3100000000000003E-2</v>
      </c>
    </row>
    <row r="98" spans="1:17">
      <c r="A98">
        <v>193412</v>
      </c>
      <c r="B98">
        <v>3.6999999999999997E-3</v>
      </c>
      <c r="C98">
        <v>2.9900000000000003E-2</v>
      </c>
      <c r="D98">
        <v>3.4000000000000002E-2</v>
      </c>
      <c r="K98">
        <f t="shared" si="5"/>
        <v>1.3590389274978736E-2</v>
      </c>
      <c r="L98">
        <f t="shared" si="9"/>
        <v>1.1090389274978735E-2</v>
      </c>
      <c r="N98">
        <f t="shared" si="6"/>
        <v>3.15E-2</v>
      </c>
      <c r="P98">
        <f t="shared" si="7"/>
        <v>1.1999999999999997E-3</v>
      </c>
      <c r="Q98">
        <f t="shared" si="8"/>
        <v>2.9900000000000003E-2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9"/>
        <v>-3.3492942825007324E-2</v>
      </c>
      <c r="N99">
        <f t="shared" si="6"/>
        <v>-8.6E-3</v>
      </c>
      <c r="P99">
        <f t="shared" si="7"/>
        <v>-3.6900000000000002E-2</v>
      </c>
      <c r="Q99">
        <f t="shared" si="8"/>
        <v>1.03E-2</v>
      </c>
    </row>
    <row r="100" spans="1:17">
      <c r="A100">
        <v>193502</v>
      </c>
      <c r="B100">
        <v>-1.9200000000000002E-2</v>
      </c>
      <c r="C100">
        <v>5.6000000000000008E-3</v>
      </c>
      <c r="D100">
        <v>3.1899999999999998E-2</v>
      </c>
      <c r="K100">
        <f t="shared" si="5"/>
        <v>-1.7347619400003983E-2</v>
      </c>
      <c r="L100">
        <f t="shared" si="9"/>
        <v>-1.9847619400003982E-2</v>
      </c>
      <c r="N100">
        <f t="shared" si="6"/>
        <v>2.9399999999999999E-2</v>
      </c>
      <c r="P100">
        <f t="shared" si="7"/>
        <v>-2.1700000000000001E-2</v>
      </c>
      <c r="Q100">
        <f t="shared" si="8"/>
        <v>5.6000000000000008E-3</v>
      </c>
    </row>
    <row r="101" spans="1:17">
      <c r="A101">
        <v>193503</v>
      </c>
      <c r="B101">
        <v>-3.6699999999999997E-2</v>
      </c>
      <c r="C101">
        <v>-3.5900000000000001E-2</v>
      </c>
      <c r="D101">
        <v>-1.47E-2</v>
      </c>
      <c r="K101">
        <f t="shared" si="5"/>
        <v>-4.8575082774974465E-2</v>
      </c>
      <c r="L101">
        <f t="shared" si="9"/>
        <v>-5.1075082774974467E-2</v>
      </c>
      <c r="N101">
        <f t="shared" si="6"/>
        <v>-1.72E-2</v>
      </c>
      <c r="P101">
        <f t="shared" si="7"/>
        <v>-3.9199999999999999E-2</v>
      </c>
      <c r="Q101">
        <f t="shared" si="8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9"/>
        <v>8.3337500925010452E-2</v>
      </c>
      <c r="N102">
        <f t="shared" si="6"/>
        <v>6.4500000000000002E-2</v>
      </c>
      <c r="P102">
        <f t="shared" si="7"/>
        <v>8.8200000000000001E-2</v>
      </c>
      <c r="Q102">
        <f t="shared" si="8"/>
        <v>-1.47E-2</v>
      </c>
    </row>
    <row r="103" spans="1:17">
      <c r="A103">
        <v>193505</v>
      </c>
      <c r="B103">
        <v>3.4800000000000005E-2</v>
      </c>
      <c r="C103">
        <v>-3.2500000000000001E-2</v>
      </c>
      <c r="D103">
        <v>1.1899999999999999E-2</v>
      </c>
      <c r="K103">
        <f t="shared" si="5"/>
        <v>2.404957687502312E-2</v>
      </c>
      <c r="L103">
        <f t="shared" si="9"/>
        <v>2.1549576875023121E-2</v>
      </c>
      <c r="N103">
        <f t="shared" si="6"/>
        <v>9.3999999999999986E-3</v>
      </c>
      <c r="P103">
        <f t="shared" si="7"/>
        <v>3.2300000000000002E-2</v>
      </c>
      <c r="Q103">
        <f t="shared" si="8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9"/>
        <v>4.8961226000017066E-2</v>
      </c>
      <c r="N104">
        <f t="shared" si="6"/>
        <v>6.3200000000000006E-2</v>
      </c>
      <c r="P104">
        <f t="shared" si="7"/>
        <v>5.6899999999999999E-2</v>
      </c>
      <c r="Q104">
        <f t="shared" si="8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9"/>
        <v>7.8157907124988268E-2</v>
      </c>
      <c r="N105">
        <f t="shared" si="6"/>
        <v>6.2799999999999995E-2</v>
      </c>
      <c r="P105">
        <f t="shared" si="7"/>
        <v>7.2700000000000001E-2</v>
      </c>
      <c r="Q105">
        <f t="shared" si="8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9"/>
        <v>4.4310795474956546E-2</v>
      </c>
      <c r="N106">
        <f t="shared" si="6"/>
        <v>3.2500000000000001E-2</v>
      </c>
      <c r="P106">
        <f t="shared" si="7"/>
        <v>2.41E-2</v>
      </c>
      <c r="Q106">
        <f t="shared" si="8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9"/>
        <v>2.9291750674988407E-2</v>
      </c>
      <c r="N107">
        <f t="shared" si="6"/>
        <v>8.4700000000000011E-2</v>
      </c>
      <c r="P107">
        <f t="shared" si="7"/>
        <v>2.3900000000000001E-2</v>
      </c>
      <c r="Q107">
        <f t="shared" si="8"/>
        <v>1.6299999999999999E-2</v>
      </c>
    </row>
    <row r="108" spans="1:17">
      <c r="A108">
        <v>193510</v>
      </c>
      <c r="B108">
        <v>7.0400000000000004E-2</v>
      </c>
      <c r="C108">
        <v>2.7999999999999997E-2</v>
      </c>
      <c r="D108">
        <v>0.12119999999999999</v>
      </c>
      <c r="K108">
        <f t="shared" si="5"/>
        <v>7.9661902999980091E-2</v>
      </c>
      <c r="L108">
        <f t="shared" si="9"/>
        <v>7.7161902999980089E-2</v>
      </c>
      <c r="N108">
        <f t="shared" si="6"/>
        <v>0.11869999999999999</v>
      </c>
      <c r="P108">
        <f t="shared" si="7"/>
        <v>6.7900000000000002E-2</v>
      </c>
      <c r="Q108">
        <f t="shared" si="8"/>
        <v>2.7999999999999997E-2</v>
      </c>
    </row>
    <row r="109" spans="1:17">
      <c r="A109">
        <v>193511</v>
      </c>
      <c r="B109">
        <v>4.9000000000000002E-2</v>
      </c>
      <c r="C109">
        <v>4.1600000000000005E-2</v>
      </c>
      <c r="D109">
        <v>3.0099999999999998E-2</v>
      </c>
      <c r="K109">
        <f t="shared" si="5"/>
        <v>6.276054159997041E-2</v>
      </c>
      <c r="L109">
        <f t="shared" si="9"/>
        <v>6.0260541599970407E-2</v>
      </c>
      <c r="N109">
        <f t="shared" si="6"/>
        <v>2.76E-2</v>
      </c>
      <c r="P109">
        <f t="shared" si="7"/>
        <v>4.65E-2</v>
      </c>
      <c r="Q109">
        <f t="shared" si="8"/>
        <v>4.1600000000000005E-2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9"/>
        <v>4.452312899999715E-2</v>
      </c>
      <c r="N110">
        <f t="shared" si="6"/>
        <v>7.7399999999999997E-2</v>
      </c>
      <c r="P110">
        <f t="shared" si="7"/>
        <v>4.3199999999999995E-2</v>
      </c>
      <c r="Q110">
        <f t="shared" si="8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9"/>
        <v>8.3601442324963235E-2</v>
      </c>
      <c r="N111">
        <f t="shared" si="6"/>
        <v>0.12429999999999999</v>
      </c>
      <c r="P111">
        <f t="shared" si="7"/>
        <v>6.6500000000000004E-2</v>
      </c>
      <c r="Q111">
        <f t="shared" si="8"/>
        <v>5.1700000000000003E-2</v>
      </c>
    </row>
    <row r="112" spans="1:17">
      <c r="A112">
        <v>193602</v>
      </c>
      <c r="B112">
        <v>2.5000000000000001E-2</v>
      </c>
      <c r="C112">
        <v>1.4199999999999999E-2</v>
      </c>
      <c r="D112">
        <v>1.1899999999999999E-2</v>
      </c>
      <c r="K112">
        <f t="shared" si="5"/>
        <v>2.9697107949989903E-2</v>
      </c>
      <c r="L112">
        <f t="shared" si="9"/>
        <v>2.7197107949989904E-2</v>
      </c>
      <c r="N112">
        <f t="shared" si="6"/>
        <v>9.3999999999999986E-3</v>
      </c>
      <c r="P112">
        <f t="shared" si="7"/>
        <v>2.2500000000000003E-2</v>
      </c>
      <c r="Q112">
        <f t="shared" si="8"/>
        <v>1.4199999999999999E-2</v>
      </c>
    </row>
    <row r="113" spans="1:17">
      <c r="A113">
        <v>193603</v>
      </c>
      <c r="B113">
        <v>1.0100000000000001E-2</v>
      </c>
      <c r="C113">
        <v>5.6999999999999993E-3</v>
      </c>
      <c r="D113">
        <v>5.2800000000000007E-2</v>
      </c>
      <c r="K113">
        <f t="shared" si="5"/>
        <v>1.1985458824995947E-2</v>
      </c>
      <c r="L113">
        <f t="shared" si="9"/>
        <v>9.485458824995947E-3</v>
      </c>
      <c r="N113">
        <f t="shared" si="6"/>
        <v>5.0300000000000004E-2</v>
      </c>
      <c r="P113">
        <f t="shared" si="7"/>
        <v>7.6000000000000009E-3</v>
      </c>
      <c r="Q113">
        <f t="shared" si="8"/>
        <v>5.6999999999999993E-3</v>
      </c>
    </row>
    <row r="114" spans="1:17">
      <c r="A114">
        <v>193604</v>
      </c>
      <c r="B114">
        <v>-8.1200000000000008E-2</v>
      </c>
      <c r="C114">
        <v>-6.0700000000000004E-2</v>
      </c>
      <c r="D114">
        <v>-0.1361</v>
      </c>
      <c r="K114">
        <f t="shared" si="5"/>
        <v>-0.10127848257495684</v>
      </c>
      <c r="L114">
        <f t="shared" si="9"/>
        <v>-0.10377848257495684</v>
      </c>
      <c r="N114">
        <f t="shared" si="6"/>
        <v>-0.1386</v>
      </c>
      <c r="P114">
        <f t="shared" si="7"/>
        <v>-8.3700000000000011E-2</v>
      </c>
      <c r="Q114">
        <f t="shared" si="8"/>
        <v>-6.0700000000000004E-2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9"/>
        <v>5.2577040249993601E-2</v>
      </c>
      <c r="N115">
        <f t="shared" si="6"/>
        <v>8.3000000000000004E-2</v>
      </c>
      <c r="P115">
        <f t="shared" si="7"/>
        <v>4.9599999999999998E-2</v>
      </c>
      <c r="Q115">
        <f t="shared" si="8"/>
        <v>9.0000000000000011E-3</v>
      </c>
    </row>
    <row r="116" spans="1:17">
      <c r="A116">
        <v>193606</v>
      </c>
      <c r="B116">
        <v>2.4300000000000002E-2</v>
      </c>
      <c r="C116">
        <v>-3.2300000000000002E-2</v>
      </c>
      <c r="D116">
        <v>-9.7000000000000003E-3</v>
      </c>
      <c r="K116">
        <f t="shared" si="5"/>
        <v>1.3615733325022973E-2</v>
      </c>
      <c r="L116">
        <f t="shared" si="9"/>
        <v>1.1115733325022973E-2</v>
      </c>
      <c r="N116">
        <f t="shared" si="6"/>
        <v>-1.2200000000000001E-2</v>
      </c>
      <c r="P116">
        <f t="shared" si="7"/>
        <v>2.1800000000000003E-2</v>
      </c>
      <c r="Q116">
        <f t="shared" si="8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9"/>
        <v>6.7607822499992878E-2</v>
      </c>
      <c r="N117">
        <f t="shared" si="6"/>
        <v>9.4299999999999995E-2</v>
      </c>
      <c r="P117">
        <f t="shared" si="7"/>
        <v>6.4299999999999996E-2</v>
      </c>
      <c r="Q117">
        <f t="shared" si="8"/>
        <v>0.01</v>
      </c>
    </row>
    <row r="118" spans="1:17">
      <c r="A118">
        <v>193608</v>
      </c>
      <c r="B118">
        <v>1.0100000000000001E-2</v>
      </c>
      <c r="C118">
        <v>6.0000000000000001E-3</v>
      </c>
      <c r="D118">
        <v>-2.0000000000000001E-4</v>
      </c>
      <c r="K118">
        <f t="shared" si="5"/>
        <v>1.2084693499995735E-2</v>
      </c>
      <c r="L118">
        <f t="shared" si="9"/>
        <v>9.5846934999957341E-3</v>
      </c>
      <c r="N118">
        <f t="shared" si="6"/>
        <v>-2.7000000000000001E-3</v>
      </c>
      <c r="P118">
        <f t="shared" si="7"/>
        <v>7.6000000000000009E-3</v>
      </c>
      <c r="Q118">
        <f t="shared" si="8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9"/>
        <v>1.7588093299978094E-2</v>
      </c>
      <c r="N119">
        <f t="shared" si="6"/>
        <v>1.26E-2</v>
      </c>
      <c r="P119">
        <f t="shared" si="7"/>
        <v>7.3999999999999986E-3</v>
      </c>
      <c r="Q119">
        <f t="shared" si="8"/>
        <v>3.0800000000000001E-2</v>
      </c>
    </row>
    <row r="120" spans="1:17">
      <c r="A120">
        <v>193610</v>
      </c>
      <c r="B120">
        <v>7.1400000000000005E-2</v>
      </c>
      <c r="C120">
        <v>-2.4300000000000002E-2</v>
      </c>
      <c r="D120">
        <v>7.4800000000000005E-2</v>
      </c>
      <c r="K120">
        <f t="shared" si="5"/>
        <v>6.3361991325017283E-2</v>
      </c>
      <c r="L120">
        <f t="shared" si="9"/>
        <v>6.0861991325017281E-2</v>
      </c>
      <c r="N120">
        <f t="shared" si="6"/>
        <v>7.2300000000000003E-2</v>
      </c>
      <c r="P120">
        <f t="shared" si="7"/>
        <v>6.8900000000000003E-2</v>
      </c>
      <c r="Q120">
        <f t="shared" si="8"/>
        <v>-2.4300000000000002E-2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9"/>
        <v>5.9309603324937628E-2</v>
      </c>
      <c r="N121">
        <f t="shared" si="6"/>
        <v>2.69E-2</v>
      </c>
      <c r="P121">
        <f t="shared" si="7"/>
        <v>3.0300000000000004E-2</v>
      </c>
      <c r="Q121">
        <f t="shared" si="8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9"/>
        <v>1.2698977099971837E-2</v>
      </c>
      <c r="N122">
        <f t="shared" si="6"/>
        <v>3.7499999999999999E-2</v>
      </c>
      <c r="P122">
        <f t="shared" si="7"/>
        <v>-4.0000000000000018E-4</v>
      </c>
      <c r="Q122">
        <f t="shared" si="8"/>
        <v>3.9600000000000003E-2</v>
      </c>
    </row>
    <row r="123" spans="1:17">
      <c r="A123">
        <v>193701</v>
      </c>
      <c r="B123">
        <v>3.3600000000000005E-2</v>
      </c>
      <c r="C123">
        <v>4.3400000000000001E-2</v>
      </c>
      <c r="D123">
        <v>4.5499999999999999E-2</v>
      </c>
      <c r="K123">
        <f t="shared" si="5"/>
        <v>4.7955949649969139E-2</v>
      </c>
      <c r="L123">
        <f t="shared" si="9"/>
        <v>4.5455949649969137E-2</v>
      </c>
      <c r="N123">
        <f t="shared" si="6"/>
        <v>4.2999999999999997E-2</v>
      </c>
      <c r="P123">
        <f t="shared" si="7"/>
        <v>3.1100000000000006E-2</v>
      </c>
      <c r="Q123">
        <f t="shared" si="8"/>
        <v>4.3400000000000001E-2</v>
      </c>
    </row>
    <row r="124" spans="1:17">
      <c r="A124">
        <v>193702</v>
      </c>
      <c r="B124">
        <v>1.1100000000000002E-2</v>
      </c>
      <c r="C124">
        <v>1.0500000000000001E-2</v>
      </c>
      <c r="D124">
        <v>3.2199999999999999E-2</v>
      </c>
      <c r="K124">
        <f t="shared" si="5"/>
        <v>1.4573213624992535E-2</v>
      </c>
      <c r="L124">
        <f t="shared" si="9"/>
        <v>1.2073213624992534E-2</v>
      </c>
      <c r="N124">
        <f t="shared" si="6"/>
        <v>2.9700000000000001E-2</v>
      </c>
      <c r="P124">
        <f t="shared" si="7"/>
        <v>8.6000000000000017E-3</v>
      </c>
      <c r="Q124">
        <f t="shared" si="8"/>
        <v>1.0500000000000001E-2</v>
      </c>
    </row>
    <row r="125" spans="1:17">
      <c r="A125">
        <v>193703</v>
      </c>
      <c r="B125">
        <v>-2.6000000000000003E-3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9"/>
        <v>-1.0690220024987981E-2</v>
      </c>
      <c r="N125">
        <f t="shared" si="6"/>
        <v>3.2199999999999999E-2</v>
      </c>
      <c r="P125">
        <f t="shared" si="7"/>
        <v>-5.1000000000000004E-3</v>
      </c>
      <c r="Q125">
        <f t="shared" si="8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9"/>
        <v>-8.8468960174972772E-2</v>
      </c>
      <c r="N126">
        <f t="shared" si="6"/>
        <v>-0.14990000000000001</v>
      </c>
      <c r="P126">
        <f t="shared" si="7"/>
        <v>-7.5800000000000006E-2</v>
      </c>
      <c r="Q126">
        <f t="shared" si="8"/>
        <v>-3.8300000000000001E-2</v>
      </c>
    </row>
    <row r="127" spans="1:17">
      <c r="A127">
        <v>193705</v>
      </c>
      <c r="B127">
        <v>-7.7000000000000002E-3</v>
      </c>
      <c r="C127">
        <v>-6.8000000000000005E-3</v>
      </c>
      <c r="D127">
        <v>-1.9300000000000001E-2</v>
      </c>
      <c r="K127">
        <f t="shared" si="5"/>
        <v>-9.949319299995164E-3</v>
      </c>
      <c r="L127">
        <f t="shared" si="9"/>
        <v>-1.2449319299995164E-2</v>
      </c>
      <c r="N127">
        <f t="shared" si="6"/>
        <v>-2.18E-2</v>
      </c>
      <c r="P127">
        <f t="shared" si="7"/>
        <v>-1.0200000000000001E-2</v>
      </c>
      <c r="Q127">
        <f t="shared" si="8"/>
        <v>-6.8000000000000005E-3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9"/>
        <v>-5.673741259997326E-2</v>
      </c>
      <c r="N128">
        <f t="shared" si="6"/>
        <v>-7.2599999999999998E-2</v>
      </c>
      <c r="P128">
        <f t="shared" si="7"/>
        <v>-4.4299999999999999E-2</v>
      </c>
      <c r="Q128">
        <f t="shared" si="8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9"/>
        <v>8.9843962024993659E-2</v>
      </c>
      <c r="N129">
        <f t="shared" si="6"/>
        <v>9.5399999999999985E-2</v>
      </c>
      <c r="P129">
        <f t="shared" si="7"/>
        <v>8.6899999999999991E-2</v>
      </c>
      <c r="Q129">
        <f t="shared" si="8"/>
        <v>8.8999999999999999E-3</v>
      </c>
    </row>
    <row r="130" spans="1:17">
      <c r="A130">
        <v>193708</v>
      </c>
      <c r="B130">
        <v>-4.8400000000000006E-2</v>
      </c>
      <c r="C130">
        <v>4.4000000000000003E-3</v>
      </c>
      <c r="D130">
        <v>-7.3800000000000004E-2</v>
      </c>
      <c r="K130">
        <f t="shared" si="5"/>
        <v>-4.6944558100003135E-2</v>
      </c>
      <c r="L130">
        <f t="shared" si="9"/>
        <v>-4.9444558100003137E-2</v>
      </c>
      <c r="N130">
        <f t="shared" si="6"/>
        <v>-7.6300000000000007E-2</v>
      </c>
      <c r="P130">
        <f t="shared" si="7"/>
        <v>-5.0900000000000008E-2</v>
      </c>
      <c r="Q130">
        <f t="shared" si="8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si="9"/>
        <v>-0.16128860104995035</v>
      </c>
      <c r="N131">
        <f t="shared" ref="N131:N194" si="11">D131-$I$7</f>
        <v>-0.20960000000000001</v>
      </c>
      <c r="P131">
        <f t="shared" ref="P131:P194" si="12">B131-0.0025</f>
        <v>-0.13819999999999999</v>
      </c>
      <c r="Q131">
        <f t="shared" ref="Q131:Q194" si="13">C131</f>
        <v>-6.9800000000000001E-2</v>
      </c>
    </row>
    <row r="132" spans="1:17">
      <c r="A132">
        <v>193710</v>
      </c>
      <c r="B132">
        <v>-9.5899999999999985E-2</v>
      </c>
      <c r="C132">
        <v>4.0999999999999995E-3</v>
      </c>
      <c r="D132">
        <v>-0.12380000000000001</v>
      </c>
      <c r="K132">
        <f t="shared" si="10"/>
        <v>-9.4543792775002897E-2</v>
      </c>
      <c r="L132">
        <f t="shared" ref="L132:L195" si="14">K132-$I$7</f>
        <v>-9.7043792775002899E-2</v>
      </c>
      <c r="N132">
        <f t="shared" si="11"/>
        <v>-0.1263</v>
      </c>
      <c r="P132">
        <f t="shared" si="12"/>
        <v>-9.8399999999999987E-2</v>
      </c>
      <c r="Q132">
        <f t="shared" si="13"/>
        <v>4.0999999999999995E-3</v>
      </c>
    </row>
    <row r="133" spans="1:17">
      <c r="A133">
        <v>193711</v>
      </c>
      <c r="B133">
        <v>-8.2900000000000001E-2</v>
      </c>
      <c r="C133">
        <v>-3.6000000000000004E-2</v>
      </c>
      <c r="D133">
        <v>-0.1103</v>
      </c>
      <c r="K133">
        <f t="shared" si="10"/>
        <v>-9.4808160999974397E-2</v>
      </c>
      <c r="L133">
        <f t="shared" si="14"/>
        <v>-9.73081609999744E-2</v>
      </c>
      <c r="N133">
        <f t="shared" si="11"/>
        <v>-0.1128</v>
      </c>
      <c r="P133">
        <f t="shared" si="12"/>
        <v>-8.5400000000000004E-2</v>
      </c>
      <c r="Q133">
        <f t="shared" si="13"/>
        <v>-3.6000000000000004E-2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4"/>
        <v>-7.0502546149944958E-2</v>
      </c>
      <c r="N134">
        <f t="shared" si="11"/>
        <v>-8.199999999999999E-3</v>
      </c>
      <c r="P134">
        <f t="shared" si="12"/>
        <v>-4.4900000000000002E-2</v>
      </c>
      <c r="Q134">
        <f t="shared" si="13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4"/>
        <v>1.8409860899965578E-2</v>
      </c>
      <c r="N135">
        <f t="shared" si="11"/>
        <v>-1.26E-2</v>
      </c>
      <c r="P135">
        <f t="shared" si="12"/>
        <v>2.3999999999999998E-3</v>
      </c>
      <c r="Q135">
        <f t="shared" si="13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4"/>
        <v>5.7223128999997153E-2</v>
      </c>
      <c r="N136">
        <f t="shared" si="11"/>
        <v>1.5399999999999999E-2</v>
      </c>
      <c r="P136">
        <f t="shared" si="12"/>
        <v>5.5899999999999998E-2</v>
      </c>
      <c r="Q136">
        <f t="shared" si="13"/>
        <v>4.0000000000000001E-3</v>
      </c>
    </row>
    <row r="137" spans="1:17">
      <c r="A137">
        <v>193803</v>
      </c>
      <c r="B137">
        <v>-0.23829999999999998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4"/>
        <v>-0.25515594964996913</v>
      </c>
      <c r="N137">
        <f t="shared" si="11"/>
        <v>-0.17560000000000001</v>
      </c>
      <c r="P137">
        <f t="shared" si="12"/>
        <v>-0.24079999999999999</v>
      </c>
      <c r="Q137">
        <f t="shared" si="13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4"/>
        <v>0.16406853334995405</v>
      </c>
      <c r="N138">
        <f t="shared" si="11"/>
        <v>0.1363</v>
      </c>
      <c r="P138">
        <f t="shared" si="12"/>
        <v>0.14269999999999999</v>
      </c>
      <c r="Q138">
        <f t="shared" si="13"/>
        <v>6.4600000000000005E-2</v>
      </c>
    </row>
    <row r="139" spans="1:17">
      <c r="A139">
        <v>193805</v>
      </c>
      <c r="B139">
        <v>-3.8300000000000001E-2</v>
      </c>
      <c r="C139">
        <v>-2.5099999999999997E-2</v>
      </c>
      <c r="D139">
        <v>7.6E-3</v>
      </c>
      <c r="K139">
        <f t="shared" si="10"/>
        <v>-4.6602634474982148E-2</v>
      </c>
      <c r="L139">
        <f t="shared" si="14"/>
        <v>-4.910263447498215E-2</v>
      </c>
      <c r="N139">
        <f t="shared" si="11"/>
        <v>5.1000000000000004E-3</v>
      </c>
      <c r="P139">
        <f t="shared" si="12"/>
        <v>-4.0800000000000003E-2</v>
      </c>
      <c r="Q139">
        <f t="shared" si="13"/>
        <v>-2.5099999999999997E-2</v>
      </c>
    </row>
    <row r="140" spans="1:17">
      <c r="A140">
        <v>193806</v>
      </c>
      <c r="B140">
        <v>0.23870000000000002</v>
      </c>
      <c r="C140">
        <v>4.2999999999999997E-2</v>
      </c>
      <c r="D140">
        <v>0.10470000000000002</v>
      </c>
      <c r="K140">
        <f t="shared" si="10"/>
        <v>0.25292363674996943</v>
      </c>
      <c r="L140">
        <f t="shared" si="14"/>
        <v>0.25042363674996942</v>
      </c>
      <c r="N140">
        <f t="shared" si="11"/>
        <v>0.10220000000000001</v>
      </c>
      <c r="P140">
        <f t="shared" si="12"/>
        <v>0.23620000000000002</v>
      </c>
      <c r="Q140">
        <f t="shared" si="13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4"/>
        <v>9.2863176074952564E-2</v>
      </c>
      <c r="N141">
        <f t="shared" si="11"/>
        <v>4.6199999999999998E-2</v>
      </c>
      <c r="P141">
        <f t="shared" si="12"/>
        <v>7.0800000000000002E-2</v>
      </c>
      <c r="Q141">
        <f t="shared" si="13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4"/>
        <v>-3.7271086899982653E-2</v>
      </c>
      <c r="N142">
        <f t="shared" si="11"/>
        <v>-2.2199999999999998E-2</v>
      </c>
      <c r="P142">
        <f t="shared" si="12"/>
        <v>-2.92E-2</v>
      </c>
      <c r="Q142">
        <f t="shared" si="13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4"/>
        <v>-3.2303554249805823E-3</v>
      </c>
      <c r="N143">
        <f t="shared" si="11"/>
        <v>-1E-3</v>
      </c>
      <c r="P143">
        <f t="shared" si="12"/>
        <v>5.8000000000000013E-3</v>
      </c>
      <c r="Q143">
        <f t="shared" si="13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4"/>
        <v>9.4752292274958821E-2</v>
      </c>
      <c r="N144">
        <f t="shared" si="11"/>
        <v>6.6100000000000006E-2</v>
      </c>
      <c r="P144">
        <f t="shared" si="12"/>
        <v>7.5600000000000001E-2</v>
      </c>
      <c r="Q144">
        <f t="shared" si="13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-1.4199999999999999E-2</v>
      </c>
      <c r="K145">
        <f t="shared" si="10"/>
        <v>-2.6301103824981721E-2</v>
      </c>
      <c r="L145">
        <f t="shared" si="14"/>
        <v>-2.880110382498172E-2</v>
      </c>
      <c r="N145">
        <f t="shared" si="11"/>
        <v>-1.67E-2</v>
      </c>
      <c r="P145">
        <f t="shared" si="12"/>
        <v>-2.0299999999999999E-2</v>
      </c>
      <c r="Q145">
        <f t="shared" si="13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4"/>
        <v>3.3346684825013018E-2</v>
      </c>
      <c r="N146">
        <f t="shared" si="11"/>
        <v>8.5600000000000009E-2</v>
      </c>
      <c r="P146">
        <f t="shared" si="12"/>
        <v>3.9400000000000004E-2</v>
      </c>
      <c r="Q146">
        <f t="shared" si="13"/>
        <v>-1.83E-2</v>
      </c>
    </row>
    <row r="147" spans="1:17">
      <c r="A147">
        <v>193901</v>
      </c>
      <c r="B147">
        <v>-5.9700000000000003E-2</v>
      </c>
      <c r="C147">
        <v>-1.5300000000000001E-2</v>
      </c>
      <c r="D147">
        <v>-9.2100000000000015E-2</v>
      </c>
      <c r="K147">
        <f t="shared" si="10"/>
        <v>-6.4760968424989115E-2</v>
      </c>
      <c r="L147">
        <f t="shared" si="14"/>
        <v>-6.7260968424989118E-2</v>
      </c>
      <c r="N147">
        <f t="shared" si="11"/>
        <v>-9.4600000000000017E-2</v>
      </c>
      <c r="P147">
        <f t="shared" si="12"/>
        <v>-6.2200000000000005E-2</v>
      </c>
      <c r="Q147">
        <f t="shared" si="13"/>
        <v>-1.5300000000000001E-2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4"/>
        <v>3.4817006399995451E-2</v>
      </c>
      <c r="N148">
        <f t="shared" si="11"/>
        <v>4.4999999999999998E-2</v>
      </c>
      <c r="P148">
        <f t="shared" si="12"/>
        <v>3.27E-2</v>
      </c>
      <c r="Q148">
        <f t="shared" si="13"/>
        <v>6.4000000000000003E-3</v>
      </c>
    </row>
    <row r="149" spans="1:17">
      <c r="A149">
        <v>193903</v>
      </c>
      <c r="B149">
        <v>-0.12000000000000001</v>
      </c>
      <c r="C149">
        <v>-4.7199999999999999E-2</v>
      </c>
      <c r="D149">
        <v>-0.18230000000000002</v>
      </c>
      <c r="K149">
        <f t="shared" si="10"/>
        <v>-0.13561292219996643</v>
      </c>
      <c r="L149">
        <f t="shared" si="14"/>
        <v>-0.13811292219996643</v>
      </c>
      <c r="N149">
        <f t="shared" si="11"/>
        <v>-0.18480000000000002</v>
      </c>
      <c r="P149">
        <f t="shared" si="12"/>
        <v>-0.12250000000000001</v>
      </c>
      <c r="Q149">
        <f t="shared" si="13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4"/>
        <v>1.1909853499881941E-3</v>
      </c>
      <c r="N150">
        <f t="shared" si="11"/>
        <v>1.9400000000000001E-2</v>
      </c>
      <c r="P150">
        <f t="shared" si="12"/>
        <v>-4.3E-3</v>
      </c>
      <c r="Q150">
        <f t="shared" si="13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4"/>
        <v>7.4795746549980238E-2</v>
      </c>
      <c r="N151">
        <f t="shared" si="11"/>
        <v>8.5800000000000001E-2</v>
      </c>
      <c r="P151">
        <f t="shared" si="12"/>
        <v>6.5600000000000006E-2</v>
      </c>
      <c r="Q151">
        <f t="shared" si="13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4"/>
        <v>-5.8774744274992956E-2</v>
      </c>
      <c r="N152">
        <f t="shared" si="11"/>
        <v>-6.3600000000000004E-2</v>
      </c>
      <c r="P152">
        <f t="shared" si="12"/>
        <v>-5.5499999999999994E-2</v>
      </c>
      <c r="Q152">
        <f t="shared" si="13"/>
        <v>-9.9000000000000008E-3</v>
      </c>
    </row>
    <row r="153" spans="1:17">
      <c r="A153">
        <v>193907</v>
      </c>
      <c r="B153">
        <v>0.1024</v>
      </c>
      <c r="C153">
        <v>4.1299999999999996E-2</v>
      </c>
      <c r="D153">
        <v>0.1336</v>
      </c>
      <c r="K153">
        <f t="shared" si="10"/>
        <v>0.11606130692497063</v>
      </c>
      <c r="L153">
        <f t="shared" si="14"/>
        <v>0.11356130692497063</v>
      </c>
      <c r="N153">
        <f t="shared" si="11"/>
        <v>0.13109999999999999</v>
      </c>
      <c r="P153">
        <f t="shared" si="12"/>
        <v>9.9900000000000003E-2</v>
      </c>
      <c r="Q153">
        <f t="shared" si="13"/>
        <v>4.1299999999999996E-2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4"/>
        <v>-8.4880609299966714E-2</v>
      </c>
      <c r="N154">
        <f t="shared" si="11"/>
        <v>-4.4900000000000002E-2</v>
      </c>
      <c r="P154">
        <f t="shared" si="12"/>
        <v>-6.9400000000000003E-2</v>
      </c>
      <c r="Q154">
        <f t="shared" si="13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4"/>
        <v>0.23457422172485343</v>
      </c>
      <c r="N155">
        <f t="shared" si="11"/>
        <v>7.6700000000000004E-2</v>
      </c>
      <c r="P155">
        <f t="shared" si="12"/>
        <v>0.16639999999999999</v>
      </c>
      <c r="Q155">
        <f t="shared" si="13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4.9100000000000005E-2</v>
      </c>
      <c r="K156">
        <f t="shared" si="10"/>
        <v>-5.8292515999988619E-3</v>
      </c>
      <c r="L156">
        <f t="shared" si="14"/>
        <v>-8.3292515999988624E-3</v>
      </c>
      <c r="N156">
        <f t="shared" si="11"/>
        <v>4.6600000000000003E-2</v>
      </c>
      <c r="P156">
        <f t="shared" si="12"/>
        <v>-7.7999999999999996E-3</v>
      </c>
      <c r="Q156">
        <f t="shared" si="13"/>
        <v>-1.6000000000000001E-3</v>
      </c>
    </row>
    <row r="157" spans="1:17">
      <c r="A157">
        <v>193911</v>
      </c>
      <c r="B157">
        <v>-3.6200000000000003E-2</v>
      </c>
      <c r="C157">
        <v>-5.2199999999999996E-2</v>
      </c>
      <c r="D157">
        <v>-6.7000000000000004E-2</v>
      </c>
      <c r="K157">
        <f t="shared" si="10"/>
        <v>-5.3466833449962878E-2</v>
      </c>
      <c r="L157">
        <f t="shared" si="14"/>
        <v>-5.596683344996288E-2</v>
      </c>
      <c r="N157">
        <f t="shared" si="11"/>
        <v>-6.9500000000000006E-2</v>
      </c>
      <c r="P157">
        <f t="shared" si="12"/>
        <v>-3.8700000000000005E-2</v>
      </c>
      <c r="Q157">
        <f t="shared" si="13"/>
        <v>-5.2199999999999996E-2</v>
      </c>
    </row>
    <row r="158" spans="1:17">
      <c r="A158">
        <v>193912</v>
      </c>
      <c r="B158">
        <v>3.0299999999999997E-2</v>
      </c>
      <c r="C158">
        <v>8.6999999999999994E-3</v>
      </c>
      <c r="D158">
        <v>7.1800000000000003E-2</v>
      </c>
      <c r="K158">
        <f t="shared" si="10"/>
        <v>3.3177805574993807E-2</v>
      </c>
      <c r="L158">
        <f t="shared" si="14"/>
        <v>3.0677805574993808E-2</v>
      </c>
      <c r="N158">
        <f t="shared" si="11"/>
        <v>6.93E-2</v>
      </c>
      <c r="P158">
        <f t="shared" si="12"/>
        <v>2.7799999999999998E-2</v>
      </c>
      <c r="Q158">
        <f t="shared" si="13"/>
        <v>8.6999999999999994E-3</v>
      </c>
    </row>
    <row r="159" spans="1:17">
      <c r="A159">
        <v>194001</v>
      </c>
      <c r="B159">
        <v>-2.4100000000000003E-2</v>
      </c>
      <c r="C159">
        <v>4.0000000000000001E-3</v>
      </c>
      <c r="D159">
        <v>1.1999999999999999E-3</v>
      </c>
      <c r="K159">
        <f t="shared" si="10"/>
        <v>-2.2776871000002849E-2</v>
      </c>
      <c r="L159">
        <f t="shared" si="14"/>
        <v>-2.5276871000002848E-2</v>
      </c>
      <c r="N159">
        <f t="shared" si="11"/>
        <v>-1.3000000000000002E-3</v>
      </c>
      <c r="P159">
        <f t="shared" si="12"/>
        <v>-2.6600000000000002E-2</v>
      </c>
      <c r="Q159">
        <f t="shared" si="13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4"/>
        <v>1.9243365949984211E-2</v>
      </c>
      <c r="N160">
        <f t="shared" si="11"/>
        <v>4.8899999999999999E-2</v>
      </c>
      <c r="P160">
        <f t="shared" si="12"/>
        <v>1.1899999999999999E-2</v>
      </c>
      <c r="Q160">
        <f t="shared" si="13"/>
        <v>2.2200000000000001E-2</v>
      </c>
    </row>
    <row r="161" spans="1:17">
      <c r="A161">
        <v>194003</v>
      </c>
      <c r="B161">
        <v>2.0499999999999997E-2</v>
      </c>
      <c r="C161">
        <v>1.26E-2</v>
      </c>
      <c r="D161">
        <v>4.5700000000000005E-2</v>
      </c>
      <c r="K161">
        <f t="shared" si="10"/>
        <v>2.4667856349991038E-2</v>
      </c>
      <c r="L161">
        <f t="shared" si="14"/>
        <v>2.2167856349991039E-2</v>
      </c>
      <c r="N161">
        <f t="shared" si="11"/>
        <v>4.3200000000000002E-2</v>
      </c>
      <c r="P161">
        <f t="shared" si="12"/>
        <v>1.7999999999999999E-2</v>
      </c>
      <c r="Q161">
        <f t="shared" si="13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4"/>
        <v>1.2964368224971479E-2</v>
      </c>
      <c r="N162">
        <f t="shared" si="11"/>
        <v>3.5999999999999997E-2</v>
      </c>
      <c r="P162">
        <f t="shared" si="12"/>
        <v>-2.9999999999999992E-4</v>
      </c>
      <c r="Q162">
        <f t="shared" si="13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4"/>
        <v>-0.24406470672495301</v>
      </c>
      <c r="N163">
        <f t="shared" si="11"/>
        <v>-0.28770000000000001</v>
      </c>
      <c r="P163">
        <f t="shared" si="12"/>
        <v>-0.22220000000000001</v>
      </c>
      <c r="Q163">
        <f t="shared" si="13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4"/>
        <v>5.8510545300012227E-2</v>
      </c>
      <c r="N164">
        <f t="shared" si="11"/>
        <v>6.0600000000000001E-2</v>
      </c>
      <c r="P164">
        <f t="shared" si="12"/>
        <v>6.4199999999999993E-2</v>
      </c>
      <c r="Q164">
        <f t="shared" si="13"/>
        <v>-1.72E-2</v>
      </c>
    </row>
    <row r="165" spans="1:17">
      <c r="A165">
        <v>194007</v>
      </c>
      <c r="B165">
        <v>3.1700000000000006E-2</v>
      </c>
      <c r="C165">
        <v>1.01E-2</v>
      </c>
      <c r="D165">
        <v>4.3700000000000003E-2</v>
      </c>
      <c r="K165">
        <f t="shared" si="10"/>
        <v>3.5040900724992823E-2</v>
      </c>
      <c r="L165">
        <f t="shared" si="14"/>
        <v>3.254090072499282E-2</v>
      </c>
      <c r="N165">
        <f t="shared" si="11"/>
        <v>4.1200000000000001E-2</v>
      </c>
      <c r="P165">
        <f t="shared" si="12"/>
        <v>2.9200000000000007E-2</v>
      </c>
      <c r="Q165">
        <f t="shared" si="13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4"/>
        <v>1.8936139525000784E-2</v>
      </c>
      <c r="N166">
        <f t="shared" si="11"/>
        <v>1.9700000000000002E-2</v>
      </c>
      <c r="P166">
        <f t="shared" si="12"/>
        <v>1.9300000000000001E-2</v>
      </c>
      <c r="Q166">
        <f t="shared" si="13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4"/>
        <v>3.2051188449977099E-2</v>
      </c>
      <c r="N167">
        <f t="shared" si="11"/>
        <v>4.0000000000000001E-3</v>
      </c>
      <c r="P167">
        <f t="shared" si="12"/>
        <v>2.1400000000000002E-2</v>
      </c>
      <c r="Q167">
        <f t="shared" si="13"/>
        <v>3.2199999999999999E-2</v>
      </c>
    </row>
    <row r="168" spans="1:17">
      <c r="A168">
        <v>194010</v>
      </c>
      <c r="B168">
        <v>3.0200000000000001E-2</v>
      </c>
      <c r="C168">
        <v>2.8000000000000004E-3</v>
      </c>
      <c r="D168">
        <v>2.7200000000000002E-2</v>
      </c>
      <c r="K168">
        <f t="shared" si="10"/>
        <v>3.1126190299998011E-2</v>
      </c>
      <c r="L168">
        <f t="shared" si="14"/>
        <v>2.8626190299998012E-2</v>
      </c>
      <c r="N168">
        <f t="shared" si="11"/>
        <v>2.4700000000000003E-2</v>
      </c>
      <c r="P168">
        <f t="shared" si="12"/>
        <v>2.7700000000000002E-2</v>
      </c>
      <c r="Q168">
        <f t="shared" si="13"/>
        <v>2.8000000000000004E-3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4"/>
        <v>-1.2182824350013798E-2</v>
      </c>
      <c r="N169">
        <f t="shared" si="11"/>
        <v>-1.0400000000000001E-2</v>
      </c>
      <c r="P169">
        <f t="shared" si="12"/>
        <v>-1.8599999999999998E-2</v>
      </c>
      <c r="Q169">
        <f t="shared" si="13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4"/>
        <v>-2.711818374984709E-3</v>
      </c>
      <c r="N170">
        <f t="shared" si="11"/>
        <v>1.5399999999999999E-2</v>
      </c>
      <c r="P170">
        <f t="shared" si="12"/>
        <v>4.3999999999999994E-3</v>
      </c>
      <c r="Q170">
        <f t="shared" si="13"/>
        <v>-2.1499999999999998E-2</v>
      </c>
    </row>
    <row r="171" spans="1:17">
      <c r="A171">
        <v>194101</v>
      </c>
      <c r="B171">
        <v>-4.1800000000000004E-2</v>
      </c>
      <c r="C171">
        <v>0.01</v>
      </c>
      <c r="D171">
        <v>-5.2600000000000001E-2</v>
      </c>
      <c r="K171">
        <f t="shared" si="10"/>
        <v>-3.8492177500007115E-2</v>
      </c>
      <c r="L171">
        <f t="shared" si="14"/>
        <v>-4.0992177500007117E-2</v>
      </c>
      <c r="N171">
        <f t="shared" si="11"/>
        <v>-5.5100000000000003E-2</v>
      </c>
      <c r="P171">
        <f t="shared" si="12"/>
        <v>-4.4300000000000006E-2</v>
      </c>
      <c r="Q171">
        <f t="shared" si="13"/>
        <v>0.01</v>
      </c>
    </row>
    <row r="172" spans="1:17">
      <c r="A172">
        <v>194102</v>
      </c>
      <c r="B172">
        <v>-1.44E-2</v>
      </c>
      <c r="C172">
        <v>-1.5600000000000001E-2</v>
      </c>
      <c r="D172">
        <v>-2.3599999999999999E-2</v>
      </c>
      <c r="K172">
        <f t="shared" si="10"/>
        <v>-1.9560203099988904E-2</v>
      </c>
      <c r="L172">
        <f t="shared" si="14"/>
        <v>-2.2060203099988903E-2</v>
      </c>
      <c r="N172">
        <f t="shared" si="11"/>
        <v>-2.6099999999999998E-2</v>
      </c>
      <c r="P172">
        <f t="shared" si="12"/>
        <v>-1.6899999999999998E-2</v>
      </c>
      <c r="Q172">
        <f t="shared" si="13"/>
        <v>-1.5600000000000001E-2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4"/>
        <v>6.330782249999287E-3</v>
      </c>
      <c r="N173">
        <f t="shared" si="11"/>
        <v>-9.4999999999999998E-3</v>
      </c>
      <c r="P173">
        <f t="shared" si="12"/>
        <v>5.9999999999999984E-3</v>
      </c>
      <c r="Q173">
        <f t="shared" si="13"/>
        <v>1E-3</v>
      </c>
    </row>
    <row r="174" spans="1:17">
      <c r="A174">
        <v>194104</v>
      </c>
      <c r="B174">
        <v>-5.4700000000000006E-2</v>
      </c>
      <c r="C174">
        <v>-1.6799999999999999E-2</v>
      </c>
      <c r="D174">
        <v>-4.8300000000000003E-2</v>
      </c>
      <c r="K174">
        <f t="shared" si="10"/>
        <v>-6.0257141799988055E-2</v>
      </c>
      <c r="L174">
        <f t="shared" si="14"/>
        <v>-6.275714179998805E-2</v>
      </c>
      <c r="N174">
        <f t="shared" si="11"/>
        <v>-5.0800000000000005E-2</v>
      </c>
      <c r="P174">
        <f t="shared" si="12"/>
        <v>-5.7200000000000008E-2</v>
      </c>
      <c r="Q174">
        <f t="shared" si="13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1.2700000000000001E-2</v>
      </c>
      <c r="K175">
        <f t="shared" si="10"/>
        <v>1.1749915375004621E-2</v>
      </c>
      <c r="L175">
        <f t="shared" si="14"/>
        <v>9.2499153750046203E-3</v>
      </c>
      <c r="N175">
        <f t="shared" si="11"/>
        <v>1.0200000000000001E-2</v>
      </c>
      <c r="P175">
        <f t="shared" si="12"/>
        <v>1.1399999999999999E-2</v>
      </c>
      <c r="Q175">
        <f t="shared" si="13"/>
        <v>-6.5000000000000006E-3</v>
      </c>
    </row>
    <row r="176" spans="1:17">
      <c r="A176">
        <v>194106</v>
      </c>
      <c r="B176">
        <v>5.8300000000000005E-2</v>
      </c>
      <c r="C176">
        <v>1.3200000000000002E-2</v>
      </c>
      <c r="D176">
        <v>4.0500000000000001E-2</v>
      </c>
      <c r="K176">
        <f t="shared" si="10"/>
        <v>6.2666325699990616E-2</v>
      </c>
      <c r="L176">
        <f t="shared" si="14"/>
        <v>6.0166325699990614E-2</v>
      </c>
      <c r="N176">
        <f t="shared" si="11"/>
        <v>3.7999999999999999E-2</v>
      </c>
      <c r="P176">
        <f t="shared" si="12"/>
        <v>5.5800000000000002E-2</v>
      </c>
      <c r="Q176">
        <f t="shared" si="13"/>
        <v>1.3200000000000002E-2</v>
      </c>
    </row>
    <row r="177" spans="1:17">
      <c r="A177">
        <v>194107</v>
      </c>
      <c r="B177">
        <v>5.9000000000000004E-2</v>
      </c>
      <c r="C177">
        <v>5.7099999999999998E-2</v>
      </c>
      <c r="D177">
        <v>8.2400000000000001E-2</v>
      </c>
      <c r="K177">
        <f t="shared" si="10"/>
        <v>7.7887666474959399E-2</v>
      </c>
      <c r="L177">
        <f t="shared" si="14"/>
        <v>7.5387666474959397E-2</v>
      </c>
      <c r="N177">
        <f t="shared" si="11"/>
        <v>7.9899999999999999E-2</v>
      </c>
      <c r="P177">
        <f t="shared" si="12"/>
        <v>5.6500000000000002E-2</v>
      </c>
      <c r="Q177">
        <f t="shared" si="13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4"/>
        <v>-5.4892854499970136E-3</v>
      </c>
      <c r="N178">
        <f t="shared" si="11"/>
        <v>-7.1000000000000004E-3</v>
      </c>
      <c r="P178">
        <f t="shared" si="12"/>
        <v>-4.1000000000000003E-3</v>
      </c>
      <c r="Q178">
        <f t="shared" si="13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4"/>
        <v>-1.4374744274992959E-2</v>
      </c>
      <c r="N179">
        <f t="shared" si="11"/>
        <v>-8.199999999999999E-3</v>
      </c>
      <c r="P179">
        <f t="shared" si="12"/>
        <v>-1.11E-2</v>
      </c>
      <c r="Q179">
        <f t="shared" si="13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4"/>
        <v>-6.1681801449985633E-2</v>
      </c>
      <c r="N180">
        <f t="shared" si="11"/>
        <v>-3.5999999999999999E-3</v>
      </c>
      <c r="P180">
        <f t="shared" si="12"/>
        <v>-5.5E-2</v>
      </c>
      <c r="Q180">
        <f t="shared" si="13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4"/>
        <v>-2.5702465224991391E-2</v>
      </c>
      <c r="N181">
        <f t="shared" si="11"/>
        <v>-2.3E-3</v>
      </c>
      <c r="P181">
        <f t="shared" si="12"/>
        <v>-2.1699999999999997E-2</v>
      </c>
      <c r="Q181">
        <f t="shared" si="13"/>
        <v>-1.21E-2</v>
      </c>
    </row>
    <row r="182" spans="1:17">
      <c r="A182">
        <v>194112</v>
      </c>
      <c r="B182">
        <v>-4.8599999999999997E-2</v>
      </c>
      <c r="C182">
        <v>-2.9900000000000003E-2</v>
      </c>
      <c r="D182">
        <v>-8.0500000000000002E-2</v>
      </c>
      <c r="K182">
        <f t="shared" si="10"/>
        <v>-5.8490389274978731E-2</v>
      </c>
      <c r="L182">
        <f t="shared" si="14"/>
        <v>-6.0990389274978733E-2</v>
      </c>
      <c r="N182">
        <f t="shared" si="11"/>
        <v>-8.3000000000000004E-2</v>
      </c>
      <c r="P182">
        <f t="shared" si="12"/>
        <v>-5.11E-2</v>
      </c>
      <c r="Q182">
        <f t="shared" si="13"/>
        <v>-2.9900000000000003E-2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4"/>
        <v>3.0507903424946452E-2</v>
      </c>
      <c r="N183">
        <f t="shared" si="11"/>
        <v>-2.9999999999999992E-4</v>
      </c>
      <c r="P183">
        <f t="shared" si="12"/>
        <v>5.6000000000000008E-3</v>
      </c>
      <c r="Q183">
        <f t="shared" si="13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4"/>
        <v>-2.1310545300012234E-2</v>
      </c>
      <c r="N184">
        <f t="shared" si="11"/>
        <v>-3.2100000000000004E-2</v>
      </c>
      <c r="P184">
        <f t="shared" si="12"/>
        <v>-2.7E-2</v>
      </c>
      <c r="Q184">
        <f t="shared" si="13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4"/>
        <v>-6.2345154175012588E-2</v>
      </c>
      <c r="N185">
        <f t="shared" si="11"/>
        <v>-6.4699999999999994E-2</v>
      </c>
      <c r="P185">
        <f t="shared" si="12"/>
        <v>-6.8199999999999997E-2</v>
      </c>
      <c r="Q185">
        <f t="shared" si="13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-2.1800000000000003E-2</v>
      </c>
      <c r="K186">
        <f t="shared" si="10"/>
        <v>-4.5584693499995735E-2</v>
      </c>
      <c r="L186">
        <f t="shared" si="14"/>
        <v>-4.8084693499995737E-2</v>
      </c>
      <c r="N186">
        <f t="shared" si="11"/>
        <v>-2.4300000000000002E-2</v>
      </c>
      <c r="P186">
        <f t="shared" si="12"/>
        <v>-4.6100000000000002E-2</v>
      </c>
      <c r="Q186">
        <f t="shared" si="13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4"/>
        <v>4.7111141375021703E-2</v>
      </c>
      <c r="N187">
        <f t="shared" si="11"/>
        <v>8.6E-3</v>
      </c>
      <c r="P187">
        <f t="shared" si="12"/>
        <v>5.7200000000000008E-2</v>
      </c>
      <c r="Q187">
        <f t="shared" si="13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4"/>
        <v>2.0564456550008676E-2</v>
      </c>
      <c r="N188">
        <f t="shared" si="11"/>
        <v>1.26E-2</v>
      </c>
      <c r="P188">
        <f t="shared" si="12"/>
        <v>2.46E-2</v>
      </c>
      <c r="Q188">
        <f t="shared" si="13"/>
        <v>-1.2200000000000001E-2</v>
      </c>
    </row>
    <row r="189" spans="1:17">
      <c r="A189">
        <v>194207</v>
      </c>
      <c r="B189">
        <v>3.5400000000000001E-2</v>
      </c>
      <c r="C189">
        <v>-1.4000000000000002E-3</v>
      </c>
      <c r="D189">
        <v>8.1900000000000001E-2</v>
      </c>
      <c r="K189">
        <f t="shared" si="10"/>
        <v>3.4936904850000998E-2</v>
      </c>
      <c r="L189">
        <f t="shared" si="14"/>
        <v>3.2436904850000996E-2</v>
      </c>
      <c r="N189">
        <f t="shared" si="11"/>
        <v>7.9399999999999998E-2</v>
      </c>
      <c r="P189">
        <f t="shared" si="12"/>
        <v>3.2899999999999999E-2</v>
      </c>
      <c r="Q189">
        <f t="shared" si="13"/>
        <v>-1.4000000000000002E-3</v>
      </c>
    </row>
    <row r="190" spans="1:17">
      <c r="A190">
        <v>194208</v>
      </c>
      <c r="B190">
        <v>1.8300000000000004E-2</v>
      </c>
      <c r="C190">
        <v>-2.0000000000000001E-4</v>
      </c>
      <c r="D190">
        <v>1.47E-2</v>
      </c>
      <c r="K190">
        <f t="shared" si="10"/>
        <v>1.8233843550000146E-2</v>
      </c>
      <c r="L190">
        <f t="shared" si="14"/>
        <v>1.5733843550000147E-2</v>
      </c>
      <c r="N190">
        <f t="shared" si="11"/>
        <v>1.2199999999999999E-2</v>
      </c>
      <c r="P190">
        <f t="shared" si="12"/>
        <v>1.5800000000000005E-2</v>
      </c>
      <c r="Q190">
        <f t="shared" si="13"/>
        <v>-2.0000000000000001E-4</v>
      </c>
    </row>
    <row r="191" spans="1:17">
      <c r="A191">
        <v>194209</v>
      </c>
      <c r="B191">
        <v>2.64E-2</v>
      </c>
      <c r="C191">
        <v>5.5000000000000005E-3</v>
      </c>
      <c r="D191">
        <v>5.21E-2</v>
      </c>
      <c r="K191">
        <f t="shared" si="10"/>
        <v>2.8219302374996088E-2</v>
      </c>
      <c r="L191">
        <f t="shared" si="14"/>
        <v>2.5719302374996089E-2</v>
      </c>
      <c r="N191">
        <f t="shared" si="11"/>
        <v>4.9599999999999998E-2</v>
      </c>
      <c r="P191">
        <f t="shared" si="12"/>
        <v>2.3900000000000001E-2</v>
      </c>
      <c r="Q191">
        <f t="shared" si="13"/>
        <v>5.5000000000000005E-3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4"/>
        <v>7.1788689374987558E-2</v>
      </c>
      <c r="N192">
        <f t="shared" si="11"/>
        <v>7.1199999999999999E-2</v>
      </c>
      <c r="P192">
        <f t="shared" si="12"/>
        <v>6.6000000000000003E-2</v>
      </c>
      <c r="Q192">
        <f t="shared" si="13"/>
        <v>1.7500000000000002E-2</v>
      </c>
    </row>
    <row r="193" spans="1:17">
      <c r="A193">
        <v>194211</v>
      </c>
      <c r="B193">
        <v>1.8E-3</v>
      </c>
      <c r="C193">
        <v>-1.3600000000000001E-2</v>
      </c>
      <c r="D193">
        <v>-1.5500000000000002E-2</v>
      </c>
      <c r="K193">
        <f t="shared" si="10"/>
        <v>-2.6986385999903276E-3</v>
      </c>
      <c r="L193">
        <f t="shared" si="14"/>
        <v>-5.1986385999903276E-3</v>
      </c>
      <c r="N193">
        <f t="shared" si="11"/>
        <v>-1.8000000000000002E-2</v>
      </c>
      <c r="P193">
        <f t="shared" si="12"/>
        <v>-7.000000000000001E-4</v>
      </c>
      <c r="Q193">
        <f t="shared" si="13"/>
        <v>-1.3600000000000001E-2</v>
      </c>
    </row>
    <row r="194" spans="1:17">
      <c r="A194">
        <v>194212</v>
      </c>
      <c r="B194">
        <v>5.1500000000000004E-2</v>
      </c>
      <c r="C194">
        <v>-2.5600000000000001E-2</v>
      </c>
      <c r="D194">
        <v>6.3899999999999998E-2</v>
      </c>
      <c r="K194">
        <f t="shared" si="10"/>
        <v>4.3031974400018214E-2</v>
      </c>
      <c r="L194">
        <f t="shared" si="14"/>
        <v>4.0531974400018211E-2</v>
      </c>
      <c r="N194">
        <f t="shared" si="11"/>
        <v>6.1399999999999996E-2</v>
      </c>
      <c r="P194">
        <f t="shared" si="12"/>
        <v>4.9000000000000002E-2</v>
      </c>
      <c r="Q194">
        <f t="shared" si="13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si="14"/>
        <v>9.8473463799936836E-2</v>
      </c>
      <c r="N195">
        <f t="shared" ref="N195:N258" si="16">D195-$I$7</f>
        <v>8.5999999999999993E-2</v>
      </c>
      <c r="P195">
        <f t="shared" ref="P195:P258" si="17">B195-0.0025</f>
        <v>6.9099999999999995E-2</v>
      </c>
      <c r="Q195">
        <f t="shared" ref="Q195:Q258" si="18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ref="L196:L259" si="19">K196-$I$7</f>
        <v>7.4846765749966584E-2</v>
      </c>
      <c r="N196">
        <f t="shared" si="16"/>
        <v>9.06E-2</v>
      </c>
      <c r="P196">
        <f t="shared" si="17"/>
        <v>5.9300000000000005E-2</v>
      </c>
      <c r="Q196">
        <f t="shared" si="18"/>
        <v>4.7E-2</v>
      </c>
    </row>
    <row r="197" spans="1:17">
      <c r="A197">
        <v>194303</v>
      </c>
      <c r="B197">
        <v>6.0400000000000002E-2</v>
      </c>
      <c r="C197">
        <v>5.0300000000000004E-2</v>
      </c>
      <c r="D197">
        <v>0.12539999999999998</v>
      </c>
      <c r="K197">
        <f t="shared" si="15"/>
        <v>7.7038347174964231E-2</v>
      </c>
      <c r="L197">
        <f t="shared" si="19"/>
        <v>7.4538347174964228E-2</v>
      </c>
      <c r="N197">
        <f t="shared" si="16"/>
        <v>0.12289999999999998</v>
      </c>
      <c r="P197">
        <f t="shared" si="17"/>
        <v>5.79E-2</v>
      </c>
      <c r="Q197">
        <f t="shared" si="18"/>
        <v>5.0300000000000004E-2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9"/>
        <v>1.2581801449985634E-2</v>
      </c>
      <c r="N198">
        <f t="shared" si="16"/>
        <v>0.1237</v>
      </c>
      <c r="P198">
        <f t="shared" si="17"/>
        <v>5.9000000000000007E-3</v>
      </c>
      <c r="Q198">
        <f t="shared" si="18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9"/>
        <v>6.955594964996914E-2</v>
      </c>
      <c r="N199">
        <f t="shared" si="16"/>
        <v>0.15279999999999999</v>
      </c>
      <c r="P199">
        <f t="shared" si="17"/>
        <v>5.5200000000000006E-2</v>
      </c>
      <c r="Q199">
        <f t="shared" si="18"/>
        <v>4.3400000000000001E-2</v>
      </c>
    </row>
    <row r="200" spans="1:17">
      <c r="A200">
        <v>194306</v>
      </c>
      <c r="B200">
        <v>1.8500000000000003E-2</v>
      </c>
      <c r="C200">
        <v>-1.01E-2</v>
      </c>
      <c r="D200">
        <v>-3.5900000000000001E-2</v>
      </c>
      <c r="K200">
        <f t="shared" si="15"/>
        <v>1.5159099275007186E-2</v>
      </c>
      <c r="L200">
        <f t="shared" si="19"/>
        <v>1.2659099275007185E-2</v>
      </c>
      <c r="N200">
        <f t="shared" si="16"/>
        <v>-3.8400000000000004E-2</v>
      </c>
      <c r="P200">
        <f t="shared" si="17"/>
        <v>1.6000000000000004E-2</v>
      </c>
      <c r="Q200">
        <f t="shared" si="18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-0.13369999999999999</v>
      </c>
      <c r="K201">
        <f t="shared" si="15"/>
        <v>-5.5173382874983287E-2</v>
      </c>
      <c r="L201">
        <f t="shared" si="19"/>
        <v>-5.7673382874983289E-2</v>
      </c>
      <c r="N201">
        <f t="shared" si="16"/>
        <v>-0.13619999999999999</v>
      </c>
      <c r="P201">
        <f t="shared" si="17"/>
        <v>-4.99E-2</v>
      </c>
      <c r="Q201">
        <f t="shared" si="18"/>
        <v>-2.35E-2</v>
      </c>
    </row>
    <row r="202" spans="1:17">
      <c r="A202">
        <v>194308</v>
      </c>
      <c r="B202">
        <v>1.3300000000000001E-2</v>
      </c>
      <c r="C202">
        <v>-6.0000000000000001E-3</v>
      </c>
      <c r="D202">
        <v>-6.9999999999999993E-3</v>
      </c>
      <c r="K202">
        <f t="shared" si="15"/>
        <v>1.1315306500004268E-2</v>
      </c>
      <c r="L202">
        <f t="shared" si="19"/>
        <v>8.8153065000042673E-3</v>
      </c>
      <c r="N202">
        <f t="shared" si="16"/>
        <v>-9.4999999999999998E-3</v>
      </c>
      <c r="P202">
        <f t="shared" si="17"/>
        <v>1.0800000000000001E-2</v>
      </c>
      <c r="Q202">
        <f t="shared" si="18"/>
        <v>-6.0000000000000001E-3</v>
      </c>
    </row>
    <row r="203" spans="1:17">
      <c r="A203">
        <v>194309</v>
      </c>
      <c r="B203">
        <v>2.4300000000000002E-2</v>
      </c>
      <c r="C203">
        <v>1.3000000000000001E-2</v>
      </c>
      <c r="D203">
        <v>6.0199999999999997E-2</v>
      </c>
      <c r="K203">
        <f t="shared" si="15"/>
        <v>2.8600169249990759E-2</v>
      </c>
      <c r="L203">
        <f t="shared" si="19"/>
        <v>2.610016924999076E-2</v>
      </c>
      <c r="N203">
        <f t="shared" si="16"/>
        <v>5.7699999999999994E-2</v>
      </c>
      <c r="P203">
        <f t="shared" si="17"/>
        <v>2.1800000000000003E-2</v>
      </c>
      <c r="Q203">
        <f t="shared" si="18"/>
        <v>1.3000000000000001E-2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9"/>
        <v>-1.1781462950004125E-2</v>
      </c>
      <c r="N204">
        <f t="shared" si="16"/>
        <v>-4.8000000000000004E-3</v>
      </c>
      <c r="P204">
        <f t="shared" si="17"/>
        <v>-1.37E-2</v>
      </c>
      <c r="Q204">
        <f t="shared" si="18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9"/>
        <v>-6.6691750674988406E-2</v>
      </c>
      <c r="N205">
        <f t="shared" si="16"/>
        <v>-0.1449</v>
      </c>
      <c r="P205">
        <f t="shared" si="17"/>
        <v>-6.13E-2</v>
      </c>
      <c r="Q205">
        <f t="shared" si="18"/>
        <v>-1.6299999999999999E-2</v>
      </c>
    </row>
    <row r="206" spans="1:17">
      <c r="A206">
        <v>194312</v>
      </c>
      <c r="B206">
        <v>6.3899999999999998E-2</v>
      </c>
      <c r="C206">
        <v>3.3100000000000004E-2</v>
      </c>
      <c r="D206">
        <v>0.15560000000000002</v>
      </c>
      <c r="K206">
        <f t="shared" si="15"/>
        <v>7.4848892474976461E-2</v>
      </c>
      <c r="L206">
        <f t="shared" si="19"/>
        <v>7.2348892474976459E-2</v>
      </c>
      <c r="N206">
        <f t="shared" si="16"/>
        <v>0.15310000000000001</v>
      </c>
      <c r="P206">
        <f t="shared" si="17"/>
        <v>6.1399999999999996E-2</v>
      </c>
      <c r="Q206">
        <f t="shared" si="18"/>
        <v>3.3100000000000004E-2</v>
      </c>
    </row>
    <row r="207" spans="1:17">
      <c r="A207">
        <v>194401</v>
      </c>
      <c r="B207">
        <v>1.77E-2</v>
      </c>
      <c r="C207">
        <v>2.5400000000000002E-2</v>
      </c>
      <c r="D207">
        <v>3.1200000000000002E-2</v>
      </c>
      <c r="K207">
        <f t="shared" si="15"/>
        <v>2.6101869149981936E-2</v>
      </c>
      <c r="L207">
        <f t="shared" si="19"/>
        <v>2.3601869149981938E-2</v>
      </c>
      <c r="N207">
        <f t="shared" si="16"/>
        <v>2.8700000000000003E-2</v>
      </c>
      <c r="P207">
        <f t="shared" si="17"/>
        <v>1.52E-2</v>
      </c>
      <c r="Q207">
        <f t="shared" si="18"/>
        <v>2.5400000000000002E-2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9"/>
        <v>1.1361395250007824E-3</v>
      </c>
      <c r="N208">
        <f t="shared" si="16"/>
        <v>-2.9999999999999992E-4</v>
      </c>
      <c r="P208">
        <f t="shared" si="17"/>
        <v>1.5E-3</v>
      </c>
      <c r="Q208">
        <f t="shared" si="18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9"/>
        <v>2.8022532924987697E-2</v>
      </c>
      <c r="N209">
        <f t="shared" si="16"/>
        <v>7.4700000000000003E-2</v>
      </c>
      <c r="P209">
        <f t="shared" si="17"/>
        <v>2.23E-2</v>
      </c>
      <c r="Q209">
        <f t="shared" si="18"/>
        <v>1.7299999999999999E-2</v>
      </c>
    </row>
    <row r="210" spans="1:17">
      <c r="A210">
        <v>194404</v>
      </c>
      <c r="B210">
        <v>-1.6599999999999997E-2</v>
      </c>
      <c r="C210">
        <v>-1.38E-2</v>
      </c>
      <c r="D210">
        <v>-2.35E-2</v>
      </c>
      <c r="K210">
        <f t="shared" si="15"/>
        <v>-2.1164795049990182E-2</v>
      </c>
      <c r="L210">
        <f t="shared" si="19"/>
        <v>-2.3664795049990181E-2</v>
      </c>
      <c r="N210">
        <f t="shared" si="16"/>
        <v>-2.5999999999999999E-2</v>
      </c>
      <c r="P210">
        <f t="shared" si="17"/>
        <v>-1.9099999999999995E-2</v>
      </c>
      <c r="Q210">
        <f t="shared" si="18"/>
        <v>-1.38E-2</v>
      </c>
    </row>
    <row r="211" spans="1:17">
      <c r="A211">
        <v>194405</v>
      </c>
      <c r="B211">
        <v>5.1000000000000004E-2</v>
      </c>
      <c r="C211">
        <v>1.66E-2</v>
      </c>
      <c r="D211">
        <v>5.9200000000000003E-2</v>
      </c>
      <c r="K211">
        <f t="shared" si="15"/>
        <v>5.6490985349988199E-2</v>
      </c>
      <c r="L211">
        <f t="shared" si="19"/>
        <v>5.3990985349988196E-2</v>
      </c>
      <c r="N211">
        <f t="shared" si="16"/>
        <v>5.67E-2</v>
      </c>
      <c r="P211">
        <f t="shared" si="17"/>
        <v>4.8500000000000001E-2</v>
      </c>
      <c r="Q211">
        <f t="shared" si="18"/>
        <v>1.66E-2</v>
      </c>
    </row>
    <row r="212" spans="1:17">
      <c r="A212">
        <v>194406</v>
      </c>
      <c r="B212">
        <v>5.5200000000000006E-2</v>
      </c>
      <c r="C212">
        <v>3.9900000000000005E-2</v>
      </c>
      <c r="D212">
        <v>2.5099999999999997E-2</v>
      </c>
      <c r="K212">
        <f t="shared" si="15"/>
        <v>6.8398211774971629E-2</v>
      </c>
      <c r="L212">
        <f t="shared" si="19"/>
        <v>6.5898211774971627E-2</v>
      </c>
      <c r="N212">
        <f t="shared" si="16"/>
        <v>2.2599999999999999E-2</v>
      </c>
      <c r="P212">
        <f t="shared" si="17"/>
        <v>5.2700000000000004E-2</v>
      </c>
      <c r="Q212">
        <f t="shared" si="18"/>
        <v>3.9900000000000005E-2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9"/>
        <v>-1.5214541175004054E-2</v>
      </c>
      <c r="N213">
        <f t="shared" si="16"/>
        <v>-2.8199999999999999E-2</v>
      </c>
      <c r="P213">
        <f t="shared" si="17"/>
        <v>-1.7100000000000001E-2</v>
      </c>
      <c r="Q213">
        <f t="shared" si="18"/>
        <v>5.6999999999999993E-3</v>
      </c>
    </row>
    <row r="214" spans="1:17">
      <c r="A214">
        <v>194408</v>
      </c>
      <c r="B214">
        <v>1.6000000000000004E-2</v>
      </c>
      <c r="C214">
        <v>2.3199999999999998E-2</v>
      </c>
      <c r="D214">
        <v>7.0699999999999999E-2</v>
      </c>
      <c r="K214">
        <f t="shared" si="15"/>
        <v>2.3674148199983504E-2</v>
      </c>
      <c r="L214">
        <f t="shared" si="19"/>
        <v>2.1174148199983506E-2</v>
      </c>
      <c r="N214">
        <f t="shared" si="16"/>
        <v>6.8199999999999997E-2</v>
      </c>
      <c r="P214">
        <f t="shared" si="17"/>
        <v>1.3500000000000003E-2</v>
      </c>
      <c r="Q214">
        <f t="shared" si="18"/>
        <v>2.3199999999999998E-2</v>
      </c>
    </row>
    <row r="215" spans="1:17">
      <c r="A215">
        <v>194409</v>
      </c>
      <c r="B215">
        <v>3.0000000000000003E-4</v>
      </c>
      <c r="C215">
        <v>4.4000000000000003E-3</v>
      </c>
      <c r="D215">
        <v>-1.9900000000000001E-2</v>
      </c>
      <c r="K215">
        <f t="shared" si="15"/>
        <v>1.7554418999968708E-3</v>
      </c>
      <c r="L215">
        <f t="shared" si="19"/>
        <v>-7.4455810000312924E-4</v>
      </c>
      <c r="N215">
        <f t="shared" si="16"/>
        <v>-2.24E-2</v>
      </c>
      <c r="P215">
        <f t="shared" si="17"/>
        <v>-2.2000000000000001E-3</v>
      </c>
      <c r="Q215">
        <f t="shared" si="18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-2.7700000000000002E-2</v>
      </c>
      <c r="K216">
        <f t="shared" si="15"/>
        <v>1.5361395250007824E-3</v>
      </c>
      <c r="L216">
        <f t="shared" si="19"/>
        <v>-9.6386047499921767E-4</v>
      </c>
      <c r="N216">
        <f t="shared" si="16"/>
        <v>-3.0200000000000001E-2</v>
      </c>
      <c r="P216">
        <f t="shared" si="17"/>
        <v>-6.0000000000000006E-4</v>
      </c>
      <c r="Q216">
        <f t="shared" si="18"/>
        <v>-1.1000000000000001E-3</v>
      </c>
    </row>
    <row r="217" spans="1:17">
      <c r="A217">
        <v>194411</v>
      </c>
      <c r="B217">
        <v>1.7400000000000002E-2</v>
      </c>
      <c r="C217">
        <v>2.3E-3</v>
      </c>
      <c r="D217">
        <v>3.56E-2</v>
      </c>
      <c r="K217">
        <f t="shared" si="15"/>
        <v>1.8160799174998365E-2</v>
      </c>
      <c r="L217">
        <f t="shared" si="19"/>
        <v>1.5660799174998366E-2</v>
      </c>
      <c r="N217">
        <f t="shared" si="16"/>
        <v>3.3099999999999997E-2</v>
      </c>
      <c r="P217">
        <f t="shared" si="17"/>
        <v>1.4900000000000002E-2</v>
      </c>
      <c r="Q217">
        <f t="shared" si="18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9"/>
        <v>4.5310287724984286E-2</v>
      </c>
      <c r="N218">
        <f t="shared" si="16"/>
        <v>9.5299999999999996E-2</v>
      </c>
      <c r="P218">
        <f t="shared" si="17"/>
        <v>3.7999999999999999E-2</v>
      </c>
      <c r="Q218">
        <f t="shared" si="18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9"/>
        <v>2.5971086899982652E-2</v>
      </c>
      <c r="N219">
        <f t="shared" si="16"/>
        <v>3.2599999999999997E-2</v>
      </c>
      <c r="P219">
        <f t="shared" si="17"/>
        <v>1.7900000000000003E-2</v>
      </c>
      <c r="Q219">
        <f t="shared" si="18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9"/>
        <v>6.5027890199989197E-2</v>
      </c>
      <c r="N220">
        <f t="shared" si="16"/>
        <v>0.107</v>
      </c>
      <c r="P220">
        <f t="shared" si="17"/>
        <v>6.0000000000000012E-2</v>
      </c>
      <c r="Q220">
        <f t="shared" si="18"/>
        <v>1.52E-2</v>
      </c>
    </row>
    <row r="221" spans="1:17">
      <c r="A221">
        <v>194503</v>
      </c>
      <c r="B221">
        <v>-3.8700000000000005E-2</v>
      </c>
      <c r="C221">
        <v>-1.61E-2</v>
      </c>
      <c r="D221">
        <v>-5.6300000000000003E-2</v>
      </c>
      <c r="K221">
        <f t="shared" si="15"/>
        <v>-4.4025594224988557E-2</v>
      </c>
      <c r="L221">
        <f t="shared" si="19"/>
        <v>-4.6525594224988559E-2</v>
      </c>
      <c r="N221">
        <f t="shared" si="16"/>
        <v>-5.8800000000000005E-2</v>
      </c>
      <c r="P221">
        <f t="shared" si="17"/>
        <v>-4.1200000000000007E-2</v>
      </c>
      <c r="Q221">
        <f t="shared" si="18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9"/>
        <v>7.6825424974997794E-2</v>
      </c>
      <c r="N222">
        <f t="shared" si="16"/>
        <v>0.14649999999999999</v>
      </c>
      <c r="P222">
        <f t="shared" si="17"/>
        <v>7.5799999999999992E-2</v>
      </c>
      <c r="Q222">
        <f t="shared" si="18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9"/>
        <v>1.9995577299989475E-2</v>
      </c>
      <c r="N223">
        <f t="shared" si="16"/>
        <v>1.5700000000000002E-2</v>
      </c>
      <c r="P223">
        <f t="shared" si="17"/>
        <v>1.5100000000000001E-2</v>
      </c>
      <c r="Q223">
        <f t="shared" si="18"/>
        <v>1.4800000000000001E-2</v>
      </c>
    </row>
    <row r="224" spans="1:17">
      <c r="A224">
        <v>194506</v>
      </c>
      <c r="B224">
        <v>4.1000000000000003E-3</v>
      </c>
      <c r="C224">
        <v>3.0600000000000002E-2</v>
      </c>
      <c r="D224">
        <v>7.9699999999999993E-2</v>
      </c>
      <c r="K224">
        <f t="shared" si="15"/>
        <v>1.4221936849978238E-2</v>
      </c>
      <c r="L224">
        <f t="shared" si="19"/>
        <v>1.1721936849978238E-2</v>
      </c>
      <c r="N224">
        <f t="shared" si="16"/>
        <v>7.7199999999999991E-2</v>
      </c>
      <c r="P224">
        <f t="shared" si="17"/>
        <v>1.6000000000000003E-3</v>
      </c>
      <c r="Q224">
        <f t="shared" si="18"/>
        <v>3.0600000000000002E-2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9"/>
        <v>-2.8927890199989186E-2</v>
      </c>
      <c r="N225">
        <f t="shared" si="16"/>
        <v>-8.5500000000000007E-2</v>
      </c>
      <c r="P225">
        <f t="shared" si="17"/>
        <v>-2.3899999999999998E-2</v>
      </c>
      <c r="Q225">
        <f t="shared" si="18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2.9700000000000004E-2</v>
      </c>
      <c r="K226">
        <f t="shared" si="15"/>
        <v>6.7261733749989339E-2</v>
      </c>
      <c r="L226">
        <f t="shared" si="19"/>
        <v>6.4761733749989336E-2</v>
      </c>
      <c r="N226">
        <f t="shared" si="16"/>
        <v>2.7200000000000005E-2</v>
      </c>
      <c r="P226">
        <f t="shared" si="17"/>
        <v>5.9800000000000006E-2</v>
      </c>
      <c r="Q226">
        <f t="shared" si="18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9"/>
        <v>5.112329824998791E-2</v>
      </c>
      <c r="N227">
        <f t="shared" si="16"/>
        <v>7.8200000000000006E-2</v>
      </c>
      <c r="P227">
        <f t="shared" si="17"/>
        <v>4.5499999999999999E-2</v>
      </c>
      <c r="Q227">
        <f t="shared" si="18"/>
        <v>1.7000000000000001E-2</v>
      </c>
    </row>
    <row r="228" spans="1:17">
      <c r="A228">
        <v>194510</v>
      </c>
      <c r="B228">
        <v>3.9200000000000006E-2</v>
      </c>
      <c r="C228">
        <v>2.3799999999999998E-2</v>
      </c>
      <c r="D228">
        <v>9.1999999999999998E-2</v>
      </c>
      <c r="K228">
        <f t="shared" si="15"/>
        <v>4.7072617549983077E-2</v>
      </c>
      <c r="L228">
        <f t="shared" si="19"/>
        <v>4.4572617549983075E-2</v>
      </c>
      <c r="N228">
        <f t="shared" si="16"/>
        <v>8.9499999999999996E-2</v>
      </c>
      <c r="P228">
        <f t="shared" si="17"/>
        <v>3.6700000000000003E-2</v>
      </c>
      <c r="Q228">
        <f t="shared" si="18"/>
        <v>2.3799999999999998E-2</v>
      </c>
    </row>
    <row r="229" spans="1:17">
      <c r="A229">
        <v>194511</v>
      </c>
      <c r="B229">
        <v>5.4099999999999995E-2</v>
      </c>
      <c r="C229">
        <v>4.3099999999999999E-2</v>
      </c>
      <c r="D229">
        <v>8.8200000000000001E-2</v>
      </c>
      <c r="K229">
        <f t="shared" si="15"/>
        <v>6.835671497496934E-2</v>
      </c>
      <c r="L229">
        <f t="shared" si="19"/>
        <v>6.5856714974969338E-2</v>
      </c>
      <c r="N229">
        <f t="shared" si="16"/>
        <v>8.5699999999999998E-2</v>
      </c>
      <c r="P229">
        <f t="shared" si="17"/>
        <v>5.1599999999999993E-2</v>
      </c>
      <c r="Q229">
        <f t="shared" si="18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9"/>
        <v>1.6746427249985065E-2</v>
      </c>
      <c r="N230">
        <f t="shared" si="16"/>
        <v>5.5599999999999997E-2</v>
      </c>
      <c r="P230">
        <f t="shared" si="17"/>
        <v>9.7999999999999997E-3</v>
      </c>
      <c r="Q230">
        <f t="shared" si="18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9"/>
        <v>7.3133585974972201E-2</v>
      </c>
      <c r="N231">
        <f t="shared" si="16"/>
        <v>0.1075</v>
      </c>
      <c r="P231">
        <f t="shared" si="17"/>
        <v>6.0200000000000004E-2</v>
      </c>
      <c r="Q231">
        <f t="shared" si="18"/>
        <v>3.9100000000000003E-2</v>
      </c>
    </row>
    <row r="232" spans="1:17">
      <c r="A232">
        <v>194602</v>
      </c>
      <c r="B232">
        <v>-5.8000000000000003E-2</v>
      </c>
      <c r="C232">
        <v>-7.0999999999999995E-3</v>
      </c>
      <c r="D232">
        <v>-6.6500000000000004E-2</v>
      </c>
      <c r="K232">
        <f t="shared" si="15"/>
        <v>-6.0348553974994952E-2</v>
      </c>
      <c r="L232">
        <f t="shared" si="19"/>
        <v>-6.2848553974994947E-2</v>
      </c>
      <c r="N232">
        <f t="shared" si="16"/>
        <v>-6.9000000000000006E-2</v>
      </c>
      <c r="P232">
        <f t="shared" si="17"/>
        <v>-6.0500000000000005E-2</v>
      </c>
      <c r="Q232">
        <f t="shared" si="18"/>
        <v>-7.0999999999999995E-3</v>
      </c>
    </row>
    <row r="233" spans="1:17">
      <c r="A233">
        <v>194603</v>
      </c>
      <c r="B233">
        <v>5.9000000000000004E-2</v>
      </c>
      <c r="C233">
        <v>2.8999999999999998E-3</v>
      </c>
      <c r="D233">
        <v>8.3400000000000002E-2</v>
      </c>
      <c r="K233">
        <f t="shared" si="15"/>
        <v>5.9959268524997944E-2</v>
      </c>
      <c r="L233">
        <f t="shared" si="19"/>
        <v>5.7459268524997942E-2</v>
      </c>
      <c r="N233">
        <f t="shared" si="16"/>
        <v>8.09E-2</v>
      </c>
      <c r="P233">
        <f t="shared" si="17"/>
        <v>5.6500000000000002E-2</v>
      </c>
      <c r="Q233">
        <f t="shared" si="18"/>
        <v>2.8999999999999998E-3</v>
      </c>
    </row>
    <row r="234" spans="1:17">
      <c r="A234">
        <v>194604</v>
      </c>
      <c r="B234">
        <v>4.2600000000000006E-2</v>
      </c>
      <c r="C234">
        <v>2.35E-2</v>
      </c>
      <c r="D234">
        <v>4.7800000000000002E-2</v>
      </c>
      <c r="K234">
        <f t="shared" si="15"/>
        <v>5.0373382874983295E-2</v>
      </c>
      <c r="L234">
        <f t="shared" si="19"/>
        <v>4.7873382874983293E-2</v>
      </c>
      <c r="N234">
        <f t="shared" si="16"/>
        <v>4.53E-2</v>
      </c>
      <c r="P234">
        <f t="shared" si="17"/>
        <v>4.0100000000000004E-2</v>
      </c>
      <c r="Q234">
        <f t="shared" si="18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9"/>
        <v>4.1929420849989615E-2</v>
      </c>
      <c r="N235">
        <f t="shared" si="16"/>
        <v>2.8800000000000003E-2</v>
      </c>
      <c r="P235">
        <f t="shared" si="17"/>
        <v>3.7100000000000001E-2</v>
      </c>
      <c r="Q235">
        <f t="shared" si="18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9"/>
        <v>-4.6326359549988767E-2</v>
      </c>
      <c r="N236">
        <f t="shared" si="16"/>
        <v>-4.6200000000000005E-2</v>
      </c>
      <c r="P236">
        <f t="shared" si="17"/>
        <v>-4.1100000000000005E-2</v>
      </c>
      <c r="Q236">
        <f t="shared" si="18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-2.6000000000000002E-2</v>
      </c>
      <c r="K237">
        <f t="shared" si="15"/>
        <v>-3.3447192574985275E-2</v>
      </c>
      <c r="L237">
        <f t="shared" si="19"/>
        <v>-3.5947192574985277E-2</v>
      </c>
      <c r="N237">
        <f t="shared" si="16"/>
        <v>-2.8500000000000001E-2</v>
      </c>
      <c r="P237">
        <f t="shared" si="17"/>
        <v>-2.9099999999999997E-2</v>
      </c>
      <c r="Q237">
        <f t="shared" si="18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9"/>
        <v>-7.2686393399986921E-2</v>
      </c>
      <c r="N238">
        <f t="shared" si="16"/>
        <v>-6.88E-2</v>
      </c>
      <c r="P238">
        <f t="shared" si="17"/>
        <v>-6.6600000000000006E-2</v>
      </c>
      <c r="Q238">
        <f t="shared" si="18"/>
        <v>-1.84E-2</v>
      </c>
    </row>
    <row r="239" spans="1:17">
      <c r="A239">
        <v>194609</v>
      </c>
      <c r="B239">
        <v>-0.1014</v>
      </c>
      <c r="C239">
        <v>-4.4000000000000004E-2</v>
      </c>
      <c r="D239">
        <v>-0.14150000000000001</v>
      </c>
      <c r="K239">
        <f t="shared" si="15"/>
        <v>-0.11595441899996871</v>
      </c>
      <c r="L239">
        <f t="shared" si="19"/>
        <v>-0.11845441899996871</v>
      </c>
      <c r="N239">
        <f t="shared" si="16"/>
        <v>-0.14400000000000002</v>
      </c>
      <c r="P239">
        <f t="shared" si="17"/>
        <v>-0.10390000000000001</v>
      </c>
      <c r="Q239">
        <f t="shared" si="18"/>
        <v>-4.4000000000000004E-2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9"/>
        <v>-1.626921775000071E-2</v>
      </c>
      <c r="N240">
        <f t="shared" si="16"/>
        <v>-1.84E-2</v>
      </c>
      <c r="P240">
        <f t="shared" si="17"/>
        <v>-1.66E-2</v>
      </c>
      <c r="Q240">
        <f t="shared" si="18"/>
        <v>1E-3</v>
      </c>
    </row>
    <row r="241" spans="1:17">
      <c r="A241">
        <v>194611</v>
      </c>
      <c r="B241">
        <v>1.9999999999999998E-4</v>
      </c>
      <c r="C241">
        <v>-4.4000000000000003E-3</v>
      </c>
      <c r="D241">
        <v>1.6000000000000001E-3</v>
      </c>
      <c r="K241">
        <f t="shared" si="15"/>
        <v>-1.2554418999968708E-3</v>
      </c>
      <c r="L241">
        <f t="shared" si="19"/>
        <v>-3.7554418999968709E-3</v>
      </c>
      <c r="N241">
        <f t="shared" si="16"/>
        <v>-8.9999999999999998E-4</v>
      </c>
      <c r="P241">
        <f t="shared" si="17"/>
        <v>-2.3E-3</v>
      </c>
      <c r="Q241">
        <f t="shared" si="18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9"/>
        <v>4.766462579999943E-2</v>
      </c>
      <c r="N242">
        <f t="shared" si="16"/>
        <v>7.1800000000000003E-2</v>
      </c>
      <c r="P242">
        <f t="shared" si="17"/>
        <v>4.7399999999999998E-2</v>
      </c>
      <c r="Q242">
        <f t="shared" si="18"/>
        <v>8.0000000000000004E-4</v>
      </c>
    </row>
    <row r="243" spans="1:17">
      <c r="A243">
        <v>194701</v>
      </c>
      <c r="B243">
        <v>1.2800000000000001E-2</v>
      </c>
      <c r="C243">
        <v>2.2000000000000002E-2</v>
      </c>
      <c r="D243">
        <v>-2.9600000000000001E-2</v>
      </c>
      <c r="K243">
        <f t="shared" si="15"/>
        <v>2.0077209499984355E-2</v>
      </c>
      <c r="L243">
        <f t="shared" si="19"/>
        <v>1.7577209499984356E-2</v>
      </c>
      <c r="N243">
        <f t="shared" si="16"/>
        <v>-3.2100000000000004E-2</v>
      </c>
      <c r="P243">
        <f t="shared" si="17"/>
        <v>1.03E-2</v>
      </c>
      <c r="Q243">
        <f t="shared" si="18"/>
        <v>2.2000000000000002E-2</v>
      </c>
    </row>
    <row r="244" spans="1:17">
      <c r="A244">
        <v>194702</v>
      </c>
      <c r="B244">
        <v>-1.0500000000000001E-2</v>
      </c>
      <c r="C244">
        <v>6.8000000000000005E-3</v>
      </c>
      <c r="D244">
        <v>-2.4100000000000003E-2</v>
      </c>
      <c r="K244">
        <f t="shared" si="15"/>
        <v>-8.2506807000048369E-3</v>
      </c>
      <c r="L244">
        <f t="shared" si="19"/>
        <v>-1.0750680700004837E-2</v>
      </c>
      <c r="N244">
        <f t="shared" si="16"/>
        <v>-2.6600000000000002E-2</v>
      </c>
      <c r="P244">
        <f t="shared" si="17"/>
        <v>-1.3000000000000001E-2</v>
      </c>
      <c r="Q244">
        <f t="shared" si="18"/>
        <v>6.8000000000000005E-3</v>
      </c>
    </row>
    <row r="245" spans="1:17">
      <c r="A245">
        <v>194703</v>
      </c>
      <c r="B245">
        <v>-1.6399999999999998E-2</v>
      </c>
      <c r="C245">
        <v>-1.6200000000000003E-2</v>
      </c>
      <c r="D245">
        <v>-1.6000000000000001E-3</v>
      </c>
      <c r="K245">
        <f t="shared" si="15"/>
        <v>-2.1758672449988477E-2</v>
      </c>
      <c r="L245">
        <f t="shared" si="19"/>
        <v>-2.4258672449988476E-2</v>
      </c>
      <c r="N245">
        <f t="shared" si="16"/>
        <v>-4.1000000000000003E-3</v>
      </c>
      <c r="P245">
        <f t="shared" si="17"/>
        <v>-1.8899999999999997E-2</v>
      </c>
      <c r="Q245">
        <f t="shared" si="18"/>
        <v>-1.6200000000000003E-2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9"/>
        <v>-6.3298977099971843E-2</v>
      </c>
      <c r="N246">
        <f t="shared" si="16"/>
        <v>-4.6300000000000001E-2</v>
      </c>
      <c r="P246">
        <f t="shared" si="17"/>
        <v>-5.0200000000000002E-2</v>
      </c>
      <c r="Q246">
        <f t="shared" si="18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9"/>
        <v>-2.2683501349976813E-2</v>
      </c>
      <c r="N247">
        <f t="shared" si="16"/>
        <v>-6.8999999999999999E-3</v>
      </c>
      <c r="P247">
        <f t="shared" si="17"/>
        <v>-1.1900000000000001E-2</v>
      </c>
      <c r="Q247">
        <f t="shared" si="18"/>
        <v>-3.2599999999999997E-2</v>
      </c>
    </row>
    <row r="248" spans="1:17">
      <c r="A248">
        <v>194706</v>
      </c>
      <c r="B248">
        <v>5.3200000000000004E-2</v>
      </c>
      <c r="C248">
        <v>-3.0000000000000001E-3</v>
      </c>
      <c r="D248">
        <v>5.2300000000000006E-2</v>
      </c>
      <c r="K248">
        <f t="shared" si="15"/>
        <v>5.2207653250002137E-2</v>
      </c>
      <c r="L248">
        <f t="shared" si="19"/>
        <v>4.9707653250002135E-2</v>
      </c>
      <c r="N248">
        <f t="shared" si="16"/>
        <v>4.9800000000000004E-2</v>
      </c>
      <c r="P248">
        <f t="shared" si="17"/>
        <v>5.0700000000000002E-2</v>
      </c>
      <c r="Q248">
        <f t="shared" si="18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9"/>
        <v>4.3930186174989831E-2</v>
      </c>
      <c r="N249">
        <f t="shared" si="16"/>
        <v>3.5400000000000001E-2</v>
      </c>
      <c r="P249">
        <f t="shared" si="17"/>
        <v>3.9199999999999999E-2</v>
      </c>
      <c r="Q249">
        <f t="shared" si="18"/>
        <v>1.43E-2</v>
      </c>
    </row>
    <row r="250" spans="1:17">
      <c r="A250">
        <v>194708</v>
      </c>
      <c r="B250">
        <v>-1.7099999999999997E-2</v>
      </c>
      <c r="C250">
        <v>3.2000000000000002E-3</v>
      </c>
      <c r="D250">
        <v>-2.4400000000000002E-2</v>
      </c>
      <c r="K250">
        <f t="shared" si="15"/>
        <v>-1.6041496800002272E-2</v>
      </c>
      <c r="L250">
        <f t="shared" si="19"/>
        <v>-1.854149680000227E-2</v>
      </c>
      <c r="N250">
        <f t="shared" si="16"/>
        <v>-2.69E-2</v>
      </c>
      <c r="P250">
        <f t="shared" si="17"/>
        <v>-1.9599999999999996E-2</v>
      </c>
      <c r="Q250">
        <f t="shared" si="18"/>
        <v>3.2000000000000002E-3</v>
      </c>
    </row>
    <row r="251" spans="1:17">
      <c r="A251">
        <v>194709</v>
      </c>
      <c r="B251">
        <v>-4.8000000000000004E-3</v>
      </c>
      <c r="C251">
        <v>1.6399999999999998E-2</v>
      </c>
      <c r="D251">
        <v>-7.000000000000001E-4</v>
      </c>
      <c r="K251">
        <f t="shared" si="15"/>
        <v>6.2482889998833474E-4</v>
      </c>
      <c r="L251">
        <f t="shared" si="19"/>
        <v>-1.8751711000116653E-3</v>
      </c>
      <c r="N251">
        <f t="shared" si="16"/>
        <v>-3.2000000000000002E-3</v>
      </c>
      <c r="P251">
        <f t="shared" si="17"/>
        <v>-7.3000000000000009E-3</v>
      </c>
      <c r="Q251">
        <f t="shared" si="18"/>
        <v>1.6399999999999998E-2</v>
      </c>
    </row>
    <row r="252" spans="1:17">
      <c r="A252">
        <v>194710</v>
      </c>
      <c r="B252">
        <v>2.5300000000000003E-2</v>
      </c>
      <c r="C252">
        <v>5.1000000000000004E-3</v>
      </c>
      <c r="D252">
        <v>4.4999999999999998E-2</v>
      </c>
      <c r="K252">
        <f t="shared" si="15"/>
        <v>2.6986989474996375E-2</v>
      </c>
      <c r="L252">
        <f t="shared" si="19"/>
        <v>2.4486989474996376E-2</v>
      </c>
      <c r="N252">
        <f t="shared" si="16"/>
        <v>4.2499999999999996E-2</v>
      </c>
      <c r="P252">
        <f t="shared" si="17"/>
        <v>2.2800000000000004E-2</v>
      </c>
      <c r="Q252">
        <f t="shared" si="18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-4.0999999999999995E-3</v>
      </c>
      <c r="K253">
        <f t="shared" si="15"/>
        <v>-2.4756376474987837E-2</v>
      </c>
      <c r="L253">
        <f t="shared" si="19"/>
        <v>-2.7256376474987836E-2</v>
      </c>
      <c r="N253">
        <f t="shared" si="16"/>
        <v>-6.6E-3</v>
      </c>
      <c r="P253">
        <f t="shared" si="17"/>
        <v>-2.1599999999999998E-2</v>
      </c>
      <c r="Q253">
        <f t="shared" si="18"/>
        <v>-1.7100000000000001E-2</v>
      </c>
    </row>
    <row r="254" spans="1:17">
      <c r="A254">
        <v>194712</v>
      </c>
      <c r="B254">
        <v>3.0799999999999998E-2</v>
      </c>
      <c r="C254">
        <v>-2.46E-2</v>
      </c>
      <c r="D254">
        <v>5.2800000000000007E-2</v>
      </c>
      <c r="K254">
        <f t="shared" si="15"/>
        <v>2.2662756650017494E-2</v>
      </c>
      <c r="L254">
        <f t="shared" si="19"/>
        <v>2.0162756650017495E-2</v>
      </c>
      <c r="N254">
        <f t="shared" si="16"/>
        <v>5.0300000000000004E-2</v>
      </c>
      <c r="P254">
        <f t="shared" si="17"/>
        <v>2.8299999999999999E-2</v>
      </c>
      <c r="Q254">
        <f t="shared" si="18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9"/>
        <v>-3.2830443750017785E-2</v>
      </c>
      <c r="N255">
        <f t="shared" si="16"/>
        <v>-4.9600000000000005E-2</v>
      </c>
      <c r="P255">
        <f t="shared" si="17"/>
        <v>-4.1100000000000005E-2</v>
      </c>
      <c r="Q255">
        <f t="shared" si="18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9"/>
        <v>-5.1289454699987767E-2</v>
      </c>
      <c r="N256">
        <f t="shared" si="16"/>
        <v>-3.9100000000000003E-2</v>
      </c>
      <c r="P256">
        <f t="shared" si="17"/>
        <v>-4.5600000000000002E-2</v>
      </c>
      <c r="Q256">
        <f t="shared" si="18"/>
        <v>-1.72E-2</v>
      </c>
    </row>
    <row r="257" spans="1:17">
      <c r="A257">
        <v>194803</v>
      </c>
      <c r="B257">
        <v>8.1600000000000006E-2</v>
      </c>
      <c r="C257">
        <v>1.4000000000000002E-3</v>
      </c>
      <c r="D257">
        <v>0.1318</v>
      </c>
      <c r="K257">
        <f t="shared" si="15"/>
        <v>8.2063095149999016E-2</v>
      </c>
      <c r="L257">
        <f t="shared" si="19"/>
        <v>7.9563095149999014E-2</v>
      </c>
      <c r="N257">
        <f t="shared" si="16"/>
        <v>0.1293</v>
      </c>
      <c r="P257">
        <f t="shared" si="17"/>
        <v>7.9100000000000004E-2</v>
      </c>
      <c r="Q257">
        <f t="shared" si="18"/>
        <v>1.4000000000000002E-3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9"/>
        <v>2.9342092875011733E-2</v>
      </c>
      <c r="N258">
        <f t="shared" si="16"/>
        <v>6.7900000000000002E-2</v>
      </c>
      <c r="P258">
        <f t="shared" si="17"/>
        <v>3.4799999999999998E-2</v>
      </c>
      <c r="Q258">
        <f t="shared" si="18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si="19"/>
        <v>7.4310118474993511E-2</v>
      </c>
      <c r="N259">
        <f t="shared" ref="N259:N322" si="21">D259-$I$7</f>
        <v>7.4099999999999999E-2</v>
      </c>
      <c r="P259">
        <f t="shared" ref="P259:P322" si="22">B259-0.0025</f>
        <v>7.1299999999999988E-2</v>
      </c>
      <c r="Q259">
        <f t="shared" ref="Q259:Q322" si="23">C259</f>
        <v>9.1000000000000004E-3</v>
      </c>
    </row>
    <row r="260" spans="1:17">
      <c r="A260">
        <v>194806</v>
      </c>
      <c r="B260">
        <v>-1.0000000000000005E-4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ref="L260:L323" si="24">K260-$I$7</f>
        <v>-8.6202369499870559E-3</v>
      </c>
      <c r="N260">
        <f t="shared" si="21"/>
        <v>3.2399999999999998E-2</v>
      </c>
      <c r="P260">
        <f t="shared" si="22"/>
        <v>-2.5999999999999999E-3</v>
      </c>
      <c r="Q260">
        <f t="shared" si="23"/>
        <v>-1.8200000000000001E-2</v>
      </c>
    </row>
    <row r="261" spans="1:17">
      <c r="A261">
        <v>194807</v>
      </c>
      <c r="B261">
        <v>-5.0099999999999999E-2</v>
      </c>
      <c r="C261">
        <v>-3.3000000000000004E-3</v>
      </c>
      <c r="D261">
        <v>-6.0900000000000003E-2</v>
      </c>
      <c r="K261">
        <f t="shared" si="20"/>
        <v>-5.1191581424997655E-2</v>
      </c>
      <c r="L261">
        <f t="shared" si="24"/>
        <v>-5.3691581424997657E-2</v>
      </c>
      <c r="N261">
        <f t="shared" si="21"/>
        <v>-6.3399999999999998E-2</v>
      </c>
      <c r="P261">
        <f t="shared" si="22"/>
        <v>-5.2600000000000001E-2</v>
      </c>
      <c r="Q261">
        <f t="shared" si="23"/>
        <v>-3.3000000000000004E-3</v>
      </c>
    </row>
    <row r="262" spans="1:17">
      <c r="A262">
        <v>194808</v>
      </c>
      <c r="B262">
        <v>3.4000000000000002E-3</v>
      </c>
      <c r="C262">
        <v>-1.11E-2</v>
      </c>
      <c r="D262">
        <v>-1E-3</v>
      </c>
      <c r="K262">
        <f t="shared" si="20"/>
        <v>-2.7168297499210537E-4</v>
      </c>
      <c r="L262">
        <f t="shared" si="24"/>
        <v>-2.7716829749921054E-3</v>
      </c>
      <c r="N262">
        <f t="shared" si="21"/>
        <v>-3.5000000000000001E-3</v>
      </c>
      <c r="P262">
        <f t="shared" si="22"/>
        <v>9.0000000000000019E-4</v>
      </c>
      <c r="Q262">
        <f t="shared" si="23"/>
        <v>-1.11E-2</v>
      </c>
    </row>
    <row r="263" spans="1:17">
      <c r="A263">
        <v>194809</v>
      </c>
      <c r="B263">
        <v>-2.9300000000000003E-2</v>
      </c>
      <c r="C263">
        <v>-1.23E-2</v>
      </c>
      <c r="D263">
        <v>-5.9699999999999996E-2</v>
      </c>
      <c r="K263">
        <f t="shared" si="20"/>
        <v>-3.3368621674991258E-2</v>
      </c>
      <c r="L263">
        <f t="shared" si="24"/>
        <v>-3.5868621674991261E-2</v>
      </c>
      <c r="N263">
        <f t="shared" si="21"/>
        <v>-6.2199999999999998E-2</v>
      </c>
      <c r="P263">
        <f t="shared" si="22"/>
        <v>-3.1800000000000002E-2</v>
      </c>
      <c r="Q263">
        <f t="shared" si="23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4"/>
        <v>5.2538266250010665E-2</v>
      </c>
      <c r="N264">
        <f t="shared" si="21"/>
        <v>6.9099999999999995E-2</v>
      </c>
      <c r="P264">
        <f t="shared" si="22"/>
        <v>5.7499999999999996E-2</v>
      </c>
      <c r="Q264">
        <f t="shared" si="23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4"/>
        <v>-9.7084693499995753E-2</v>
      </c>
      <c r="N265">
        <f t="shared" si="21"/>
        <v>-0.1192</v>
      </c>
      <c r="P265">
        <f t="shared" si="22"/>
        <v>-9.5100000000000018E-2</v>
      </c>
      <c r="Q265">
        <f t="shared" si="23"/>
        <v>-6.0000000000000001E-3</v>
      </c>
    </row>
    <row r="266" spans="1:17">
      <c r="A266">
        <v>194812</v>
      </c>
      <c r="B266">
        <v>3.2999999999999995E-2</v>
      </c>
      <c r="C266">
        <v>-2.8199999999999999E-2</v>
      </c>
      <c r="D266">
        <v>5.5E-2</v>
      </c>
      <c r="K266">
        <f t="shared" si="20"/>
        <v>2.3671940550020053E-2</v>
      </c>
      <c r="L266">
        <f t="shared" si="24"/>
        <v>2.1171940550020054E-2</v>
      </c>
      <c r="N266">
        <f t="shared" si="21"/>
        <v>5.2499999999999998E-2</v>
      </c>
      <c r="P266">
        <f t="shared" si="22"/>
        <v>3.0499999999999996E-2</v>
      </c>
      <c r="Q266">
        <f t="shared" si="23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4"/>
        <v>6.6548458249874112E-3</v>
      </c>
      <c r="N267">
        <f t="shared" si="21"/>
        <v>-1.9399999999999997E-2</v>
      </c>
      <c r="P267">
        <f t="shared" si="22"/>
        <v>7.9999999999999993E-4</v>
      </c>
      <c r="Q267">
        <f t="shared" si="23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4"/>
        <v>-3.7184862749986489E-2</v>
      </c>
      <c r="N268">
        <f t="shared" si="21"/>
        <v>-4.4500000000000005E-2</v>
      </c>
      <c r="P268">
        <f t="shared" si="22"/>
        <v>-3.09E-2</v>
      </c>
      <c r="Q268">
        <f t="shared" si="23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4"/>
        <v>4.7169556249982217E-2</v>
      </c>
      <c r="N269">
        <f t="shared" si="21"/>
        <v>6.59E-2</v>
      </c>
      <c r="P269">
        <f t="shared" si="22"/>
        <v>3.8899999999999997E-2</v>
      </c>
      <c r="Q269">
        <f t="shared" si="23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4"/>
        <v>-2.324396202499367E-2</v>
      </c>
      <c r="N270">
        <f t="shared" si="21"/>
        <v>-6.8000000000000005E-3</v>
      </c>
      <c r="P270">
        <f t="shared" si="22"/>
        <v>-2.0299999999999999E-2</v>
      </c>
      <c r="Q270">
        <f t="shared" si="23"/>
        <v>-8.8999999999999999E-3</v>
      </c>
    </row>
    <row r="271" spans="1:17">
      <c r="A271">
        <v>194905</v>
      </c>
      <c r="B271">
        <v>-2.8399999999999998E-2</v>
      </c>
      <c r="C271">
        <v>-7.9000000000000008E-3</v>
      </c>
      <c r="D271">
        <v>-2.2100000000000002E-2</v>
      </c>
      <c r="K271">
        <f t="shared" si="20"/>
        <v>-3.101317977499438E-2</v>
      </c>
      <c r="L271">
        <f t="shared" si="24"/>
        <v>-3.3513179774994378E-2</v>
      </c>
      <c r="N271">
        <f t="shared" si="21"/>
        <v>-2.46E-2</v>
      </c>
      <c r="P271">
        <f t="shared" si="22"/>
        <v>-3.0899999999999997E-2</v>
      </c>
      <c r="Q271">
        <f t="shared" si="23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4"/>
        <v>-3.510118474993528E-3</v>
      </c>
      <c r="N272">
        <f t="shared" si="21"/>
        <v>-7.1999999999999998E-3</v>
      </c>
      <c r="P272">
        <f t="shared" si="22"/>
        <v>-5.0000000000000001E-4</v>
      </c>
      <c r="Q272">
        <f t="shared" si="23"/>
        <v>-9.1000000000000004E-3</v>
      </c>
    </row>
    <row r="273" spans="1:17">
      <c r="A273">
        <v>194907</v>
      </c>
      <c r="B273">
        <v>5.6300000000000003E-2</v>
      </c>
      <c r="C273">
        <v>5.5000000000000005E-3</v>
      </c>
      <c r="D273">
        <v>4.8000000000000001E-2</v>
      </c>
      <c r="K273">
        <f t="shared" si="20"/>
        <v>5.8119302374996094E-2</v>
      </c>
      <c r="L273">
        <f t="shared" si="24"/>
        <v>5.5619302374996092E-2</v>
      </c>
      <c r="N273">
        <f t="shared" si="21"/>
        <v>4.5499999999999999E-2</v>
      </c>
      <c r="P273">
        <f t="shared" si="22"/>
        <v>5.3800000000000001E-2</v>
      </c>
      <c r="Q273">
        <f t="shared" si="23"/>
        <v>5.5000000000000005E-3</v>
      </c>
    </row>
    <row r="274" spans="1:17">
      <c r="A274">
        <v>194908</v>
      </c>
      <c r="B274">
        <v>2.6900000000000004E-2</v>
      </c>
      <c r="C274">
        <v>1.3000000000000002E-3</v>
      </c>
      <c r="D274">
        <v>2.5600000000000001E-2</v>
      </c>
      <c r="K274">
        <f t="shared" si="20"/>
        <v>2.7330016924999079E-2</v>
      </c>
      <c r="L274">
        <f t="shared" si="24"/>
        <v>2.4830016924999081E-2</v>
      </c>
      <c r="N274">
        <f t="shared" si="21"/>
        <v>2.3100000000000002E-2</v>
      </c>
      <c r="P274">
        <f t="shared" si="22"/>
        <v>2.4400000000000005E-2</v>
      </c>
      <c r="Q274">
        <f t="shared" si="23"/>
        <v>1.3000000000000002E-3</v>
      </c>
    </row>
    <row r="275" spans="1:17">
      <c r="A275">
        <v>194909</v>
      </c>
      <c r="B275">
        <v>3.1800000000000002E-2</v>
      </c>
      <c r="C275">
        <v>1.06E-2</v>
      </c>
      <c r="D275">
        <v>4.6900000000000004E-2</v>
      </c>
      <c r="K275">
        <f t="shared" si="20"/>
        <v>3.5306291849992462E-2</v>
      </c>
      <c r="L275">
        <f t="shared" si="24"/>
        <v>3.280629184999246E-2</v>
      </c>
      <c r="N275">
        <f t="shared" si="21"/>
        <v>4.4400000000000002E-2</v>
      </c>
      <c r="P275">
        <f t="shared" si="22"/>
        <v>2.9300000000000003E-2</v>
      </c>
      <c r="Q275">
        <f t="shared" si="23"/>
        <v>1.06E-2</v>
      </c>
    </row>
    <row r="276" spans="1:17">
      <c r="A276">
        <v>194910</v>
      </c>
      <c r="B276">
        <v>3.2300000000000002E-2</v>
      </c>
      <c r="C276">
        <v>1.0400000000000001E-2</v>
      </c>
      <c r="D276">
        <v>5.1799999999999999E-2</v>
      </c>
      <c r="K276">
        <f t="shared" si="20"/>
        <v>3.5740135399992608E-2</v>
      </c>
      <c r="L276">
        <f t="shared" si="24"/>
        <v>3.3240135399992606E-2</v>
      </c>
      <c r="N276">
        <f t="shared" si="21"/>
        <v>4.9299999999999997E-2</v>
      </c>
      <c r="P276">
        <f t="shared" si="22"/>
        <v>2.9800000000000004E-2</v>
      </c>
      <c r="Q276">
        <f t="shared" si="23"/>
        <v>1.0400000000000001E-2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4"/>
        <v>1.3126021050007252E-2</v>
      </c>
      <c r="N277">
        <f t="shared" si="21"/>
        <v>3.4200000000000001E-2</v>
      </c>
      <c r="P277">
        <f t="shared" si="22"/>
        <v>1.6500000000000001E-2</v>
      </c>
      <c r="Q277">
        <f t="shared" si="23"/>
        <v>-1.0200000000000001E-2</v>
      </c>
    </row>
    <row r="278" spans="1:17">
      <c r="A278">
        <v>194912</v>
      </c>
      <c r="B278">
        <v>5.2199999999999996E-2</v>
      </c>
      <c r="C278">
        <v>2.0800000000000003E-2</v>
      </c>
      <c r="D278">
        <v>6.4399999999999999E-2</v>
      </c>
      <c r="K278">
        <f t="shared" si="20"/>
        <v>5.9080270799985207E-2</v>
      </c>
      <c r="L278">
        <f t="shared" si="24"/>
        <v>5.6580270799985205E-2</v>
      </c>
      <c r="N278">
        <f t="shared" si="21"/>
        <v>6.1899999999999997E-2</v>
      </c>
      <c r="P278">
        <f t="shared" si="22"/>
        <v>4.9699999999999994E-2</v>
      </c>
      <c r="Q278">
        <f t="shared" si="23"/>
        <v>2.0800000000000003E-2</v>
      </c>
    </row>
    <row r="279" spans="1:17">
      <c r="A279">
        <v>195001</v>
      </c>
      <c r="B279">
        <v>1.7900000000000003E-2</v>
      </c>
      <c r="C279">
        <v>3.3399999999999999E-2</v>
      </c>
      <c r="D279">
        <v>2.8500000000000001E-2</v>
      </c>
      <c r="K279">
        <f t="shared" si="20"/>
        <v>2.8948127149976247E-2</v>
      </c>
      <c r="L279">
        <f t="shared" si="24"/>
        <v>2.6448127149976249E-2</v>
      </c>
      <c r="N279">
        <f t="shared" si="21"/>
        <v>2.6000000000000002E-2</v>
      </c>
      <c r="P279">
        <f t="shared" si="22"/>
        <v>1.5400000000000002E-2</v>
      </c>
      <c r="Q279">
        <f t="shared" si="23"/>
        <v>3.3399999999999999E-2</v>
      </c>
    </row>
    <row r="280" spans="1:17">
      <c r="A280">
        <v>195002</v>
      </c>
      <c r="B280">
        <v>1.5700000000000002E-2</v>
      </c>
      <c r="C280">
        <v>1E-4</v>
      </c>
      <c r="D280">
        <v>2.0800000000000003E-2</v>
      </c>
      <c r="K280">
        <f t="shared" si="20"/>
        <v>1.5733078224999929E-2</v>
      </c>
      <c r="L280">
        <f t="shared" si="24"/>
        <v>1.3233078224999929E-2</v>
      </c>
      <c r="N280">
        <f t="shared" si="21"/>
        <v>1.8300000000000004E-2</v>
      </c>
      <c r="P280">
        <f t="shared" si="22"/>
        <v>1.3200000000000002E-2</v>
      </c>
      <c r="Q280">
        <f t="shared" si="23"/>
        <v>1E-4</v>
      </c>
    </row>
    <row r="281" spans="1:17">
      <c r="A281">
        <v>195003</v>
      </c>
      <c r="B281">
        <v>1.3600000000000001E-2</v>
      </c>
      <c r="C281">
        <v>-1.43E-2</v>
      </c>
      <c r="D281">
        <v>1.8600000000000002E-2</v>
      </c>
      <c r="K281">
        <f t="shared" si="20"/>
        <v>8.869813825010172E-3</v>
      </c>
      <c r="L281">
        <f t="shared" si="24"/>
        <v>6.3698138250101715E-3</v>
      </c>
      <c r="N281">
        <f t="shared" si="21"/>
        <v>1.6100000000000003E-2</v>
      </c>
      <c r="P281">
        <f t="shared" si="22"/>
        <v>1.11E-2</v>
      </c>
      <c r="Q281">
        <f t="shared" si="23"/>
        <v>-1.43E-2</v>
      </c>
    </row>
    <row r="282" spans="1:17">
      <c r="A282">
        <v>195004</v>
      </c>
      <c r="B282">
        <v>4.0299999999999996E-2</v>
      </c>
      <c r="C282">
        <v>2.01E-2</v>
      </c>
      <c r="D282">
        <v>3.1899999999999998E-2</v>
      </c>
      <c r="K282">
        <f t="shared" si="20"/>
        <v>4.6948723224985701E-2</v>
      </c>
      <c r="L282">
        <f t="shared" si="24"/>
        <v>4.4448723224985699E-2</v>
      </c>
      <c r="N282">
        <f t="shared" si="21"/>
        <v>2.9399999999999999E-2</v>
      </c>
      <c r="P282">
        <f t="shared" si="22"/>
        <v>3.7799999999999993E-2</v>
      </c>
      <c r="Q282">
        <f t="shared" si="23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4"/>
        <v>3.4587416300015078E-2</v>
      </c>
      <c r="N283">
        <f t="shared" si="21"/>
        <v>3.2999999999999995E-2</v>
      </c>
      <c r="P283">
        <f t="shared" si="22"/>
        <v>4.1599999999999998E-2</v>
      </c>
      <c r="Q283">
        <f t="shared" si="23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4"/>
        <v>-6.8706461099983226E-2</v>
      </c>
      <c r="N284">
        <f t="shared" si="21"/>
        <v>-7.6300000000000007E-2</v>
      </c>
      <c r="P284">
        <f t="shared" si="22"/>
        <v>-6.090000000000001E-2</v>
      </c>
      <c r="Q284">
        <f t="shared" si="23"/>
        <v>-2.3599999999999999E-2</v>
      </c>
    </row>
    <row r="285" spans="1:17">
      <c r="A285">
        <v>195007</v>
      </c>
      <c r="B285">
        <v>1.4600000000000002E-2</v>
      </c>
      <c r="C285">
        <v>6.8999999999999999E-3</v>
      </c>
      <c r="D285">
        <v>-2.8000000000000004E-3</v>
      </c>
      <c r="K285">
        <f t="shared" si="20"/>
        <v>1.6882397524995096E-2</v>
      </c>
      <c r="L285">
        <f t="shared" si="24"/>
        <v>1.4382397524995096E-2</v>
      </c>
      <c r="N285">
        <f t="shared" si="21"/>
        <v>-5.3000000000000009E-3</v>
      </c>
      <c r="P285">
        <f t="shared" si="22"/>
        <v>1.2100000000000001E-2</v>
      </c>
      <c r="Q285">
        <f t="shared" si="23"/>
        <v>6.8999999999999999E-3</v>
      </c>
    </row>
    <row r="286" spans="1:17">
      <c r="A286">
        <v>195008</v>
      </c>
      <c r="B286">
        <v>4.9499999999999995E-2</v>
      </c>
      <c r="C286">
        <v>7.6E-3</v>
      </c>
      <c r="D286">
        <v>7.9500000000000001E-2</v>
      </c>
      <c r="K286">
        <f t="shared" si="20"/>
        <v>5.2013945099994588E-2</v>
      </c>
      <c r="L286">
        <f t="shared" si="24"/>
        <v>4.9513945099994586E-2</v>
      </c>
      <c r="N286">
        <f t="shared" si="21"/>
        <v>7.6999999999999999E-2</v>
      </c>
      <c r="P286">
        <f t="shared" si="22"/>
        <v>4.6999999999999993E-2</v>
      </c>
      <c r="Q286">
        <f t="shared" si="23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3.8700000000000005E-2</v>
      </c>
      <c r="K287">
        <f t="shared" si="20"/>
        <v>5.0720833024996512E-2</v>
      </c>
      <c r="L287">
        <f t="shared" si="24"/>
        <v>4.8220833024996509E-2</v>
      </c>
      <c r="N287">
        <f t="shared" si="21"/>
        <v>3.6200000000000003E-2</v>
      </c>
      <c r="P287">
        <f t="shared" si="22"/>
        <v>4.6599999999999996E-2</v>
      </c>
      <c r="Q287">
        <f t="shared" si="23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4"/>
        <v>-4.6546765749966579E-3</v>
      </c>
      <c r="N288">
        <f t="shared" si="21"/>
        <v>1.46E-2</v>
      </c>
      <c r="P288">
        <f t="shared" si="22"/>
        <v>-3.1000000000000003E-3</v>
      </c>
      <c r="Q288">
        <f t="shared" si="23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4"/>
        <v>2.3256037975006329E-2</v>
      </c>
      <c r="N289">
        <f t="shared" si="21"/>
        <v>1.2199999999999999E-2</v>
      </c>
      <c r="P289">
        <f t="shared" si="22"/>
        <v>2.6200000000000001E-2</v>
      </c>
      <c r="Q289">
        <f t="shared" si="23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4"/>
        <v>5.8862499074989541E-2</v>
      </c>
      <c r="N290">
        <f t="shared" si="21"/>
        <v>9.3200000000000005E-2</v>
      </c>
      <c r="P290">
        <f t="shared" si="22"/>
        <v>5.3999999999999999E-2</v>
      </c>
      <c r="Q290">
        <f t="shared" si="23"/>
        <v>1.47E-2</v>
      </c>
    </row>
    <row r="291" spans="1:17">
      <c r="A291">
        <v>195101</v>
      </c>
      <c r="B291">
        <v>5.8300000000000005E-2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4"/>
        <v>6.1621767599987484E-2</v>
      </c>
      <c r="N291">
        <f t="shared" si="21"/>
        <v>6.1200000000000004E-2</v>
      </c>
      <c r="P291">
        <f t="shared" si="22"/>
        <v>5.5800000000000002E-2</v>
      </c>
      <c r="Q291">
        <f t="shared" si="23"/>
        <v>1.7600000000000001E-2</v>
      </c>
    </row>
    <row r="292" spans="1:17">
      <c r="A292">
        <v>195102</v>
      </c>
      <c r="B292">
        <v>1.5099999999999999E-2</v>
      </c>
      <c r="C292">
        <v>8.0000000000000004E-4</v>
      </c>
      <c r="D292">
        <v>-6.7000000000000002E-3</v>
      </c>
      <c r="K292">
        <f t="shared" si="20"/>
        <v>1.5364625799999429E-2</v>
      </c>
      <c r="L292">
        <f t="shared" si="24"/>
        <v>1.2864625799999429E-2</v>
      </c>
      <c r="N292">
        <f t="shared" si="21"/>
        <v>-9.1999999999999998E-3</v>
      </c>
      <c r="P292">
        <f t="shared" si="22"/>
        <v>1.2599999999999998E-2</v>
      </c>
      <c r="Q292">
        <f t="shared" si="23"/>
        <v>8.0000000000000004E-4</v>
      </c>
    </row>
    <row r="293" spans="1:17">
      <c r="A293">
        <v>195103</v>
      </c>
      <c r="B293">
        <v>-2.0399999999999998E-2</v>
      </c>
      <c r="C293">
        <v>-7.7000000000000002E-3</v>
      </c>
      <c r="D293">
        <v>-4.6600000000000003E-2</v>
      </c>
      <c r="K293">
        <f t="shared" si="20"/>
        <v>-2.2947023324994521E-2</v>
      </c>
      <c r="L293">
        <f t="shared" si="24"/>
        <v>-2.544702332499452E-2</v>
      </c>
      <c r="N293">
        <f t="shared" si="21"/>
        <v>-4.9100000000000005E-2</v>
      </c>
      <c r="P293">
        <f t="shared" si="22"/>
        <v>-2.2899999999999997E-2</v>
      </c>
      <c r="Q293">
        <f t="shared" si="23"/>
        <v>-7.7000000000000002E-3</v>
      </c>
    </row>
    <row r="294" spans="1:17">
      <c r="A294">
        <v>195104</v>
      </c>
      <c r="B294">
        <v>4.9900000000000007E-2</v>
      </c>
      <c r="C294">
        <v>-1.4499999999999999E-2</v>
      </c>
      <c r="D294">
        <v>7.8E-2</v>
      </c>
      <c r="K294">
        <f t="shared" si="20"/>
        <v>4.510365737501032E-2</v>
      </c>
      <c r="L294">
        <f t="shared" si="24"/>
        <v>4.2603657375010318E-2</v>
      </c>
      <c r="N294">
        <f t="shared" si="21"/>
        <v>7.5499999999999998E-2</v>
      </c>
      <c r="P294">
        <f t="shared" si="22"/>
        <v>4.7400000000000005E-2</v>
      </c>
      <c r="Q294">
        <f t="shared" si="23"/>
        <v>-1.4499999999999999E-2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4"/>
        <v>-2.47E-2</v>
      </c>
      <c r="N295">
        <f t="shared" si="21"/>
        <v>-3.9800000000000002E-2</v>
      </c>
      <c r="P295">
        <f t="shared" si="22"/>
        <v>-2.47E-2</v>
      </c>
      <c r="Q295">
        <f t="shared" si="23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-3.9900000000000005E-2</v>
      </c>
      <c r="K296">
        <f t="shared" si="20"/>
        <v>-3.1814114349985351E-2</v>
      </c>
      <c r="L296">
        <f t="shared" si="24"/>
        <v>-3.4314114349985353E-2</v>
      </c>
      <c r="N296">
        <f t="shared" si="21"/>
        <v>-4.2400000000000007E-2</v>
      </c>
      <c r="P296">
        <f t="shared" si="22"/>
        <v>-2.75E-2</v>
      </c>
      <c r="Q296">
        <f t="shared" si="23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4"/>
        <v>6.1617433225014145E-2</v>
      </c>
      <c r="N297">
        <f t="shared" si="21"/>
        <v>0.1166</v>
      </c>
      <c r="P297">
        <f t="shared" si="22"/>
        <v>6.8199999999999997E-2</v>
      </c>
      <c r="Q297">
        <f t="shared" si="23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4"/>
        <v>4.4774744274992957E-2</v>
      </c>
      <c r="N298">
        <f t="shared" si="21"/>
        <v>1.7900000000000003E-2</v>
      </c>
      <c r="P298">
        <f t="shared" si="22"/>
        <v>4.1499999999999995E-2</v>
      </c>
      <c r="Q298">
        <f t="shared" si="23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4"/>
        <v>1.18856280749867E-2</v>
      </c>
      <c r="N299">
        <f t="shared" si="21"/>
        <v>-1.1900000000000001E-2</v>
      </c>
      <c r="P299">
        <f t="shared" si="22"/>
        <v>5.6999999999999985E-3</v>
      </c>
      <c r="Q299">
        <f t="shared" si="23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4"/>
        <v>-2.6927720949998433E-2</v>
      </c>
      <c r="N300">
        <f t="shared" si="21"/>
        <v>3.2999999999999995E-3</v>
      </c>
      <c r="P300">
        <f t="shared" si="22"/>
        <v>-2.6199999999999998E-2</v>
      </c>
      <c r="Q300">
        <f t="shared" si="23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4"/>
        <v>3.2414968000022749E-3</v>
      </c>
      <c r="N301">
        <f t="shared" si="21"/>
        <v>6.3E-3</v>
      </c>
      <c r="P301">
        <f t="shared" si="22"/>
        <v>4.3E-3</v>
      </c>
      <c r="Q301">
        <f t="shared" si="23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5.1100000000000007E-2</v>
      </c>
      <c r="K302">
        <f t="shared" si="20"/>
        <v>2.7024321150016076E-2</v>
      </c>
      <c r="L302">
        <f t="shared" si="24"/>
        <v>2.4524321150016078E-2</v>
      </c>
      <c r="N302">
        <f t="shared" si="21"/>
        <v>4.8600000000000004E-2</v>
      </c>
      <c r="P302">
        <f t="shared" si="22"/>
        <v>3.2000000000000001E-2</v>
      </c>
      <c r="Q302">
        <f t="shared" si="23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4"/>
        <v>1.1482228275004338E-2</v>
      </c>
      <c r="N303">
        <f t="shared" si="21"/>
        <v>3.7100000000000001E-2</v>
      </c>
      <c r="P303">
        <f t="shared" si="22"/>
        <v>1.35E-2</v>
      </c>
      <c r="Q303">
        <f t="shared" si="23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4"/>
        <v>-2.4787585550005833E-2</v>
      </c>
      <c r="N304">
        <f t="shared" si="21"/>
        <v>-4.2700000000000002E-2</v>
      </c>
      <c r="P304">
        <f t="shared" si="22"/>
        <v>-2.75E-2</v>
      </c>
      <c r="Q304">
        <f t="shared" si="23"/>
        <v>8.199999999999999E-3</v>
      </c>
    </row>
    <row r="305" spans="1:17">
      <c r="A305">
        <v>195203</v>
      </c>
      <c r="B305">
        <v>4.5499999999999999E-2</v>
      </c>
      <c r="C305">
        <v>-2.9900000000000003E-2</v>
      </c>
      <c r="D305">
        <v>7.3599999999999999E-2</v>
      </c>
      <c r="K305">
        <f t="shared" si="20"/>
        <v>3.5609610725021265E-2</v>
      </c>
      <c r="L305">
        <f t="shared" si="24"/>
        <v>3.3109610725021263E-2</v>
      </c>
      <c r="N305">
        <f t="shared" si="21"/>
        <v>7.1099999999999997E-2</v>
      </c>
      <c r="P305">
        <f t="shared" si="22"/>
        <v>4.2999999999999997E-2</v>
      </c>
      <c r="Q305">
        <f t="shared" si="23"/>
        <v>-2.9900000000000003E-2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4"/>
        <v>-4.9478401650003279E-2</v>
      </c>
      <c r="N306">
        <f t="shared" si="21"/>
        <v>-7.9000000000000001E-2</v>
      </c>
      <c r="P306">
        <f t="shared" si="22"/>
        <v>-5.1000000000000004E-2</v>
      </c>
      <c r="Q306">
        <f t="shared" si="23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4"/>
        <v>2.7492177500007115E-2</v>
      </c>
      <c r="N307">
        <f t="shared" si="21"/>
        <v>3.5400000000000001E-2</v>
      </c>
      <c r="P307">
        <f t="shared" si="22"/>
        <v>3.0800000000000004E-2</v>
      </c>
      <c r="Q307">
        <f t="shared" si="23"/>
        <v>-0.01</v>
      </c>
    </row>
    <row r="308" spans="1:17">
      <c r="A308">
        <v>195206</v>
      </c>
      <c r="B308">
        <v>3.9800000000000002E-2</v>
      </c>
      <c r="C308">
        <v>-1.6399999999999998E-2</v>
      </c>
      <c r="D308">
        <v>4.7800000000000002E-2</v>
      </c>
      <c r="K308">
        <f t="shared" si="20"/>
        <v>3.4375171100011669E-2</v>
      </c>
      <c r="L308">
        <f t="shared" si="24"/>
        <v>3.1875171100011666E-2</v>
      </c>
      <c r="N308">
        <f t="shared" si="21"/>
        <v>4.53E-2</v>
      </c>
      <c r="P308">
        <f t="shared" si="22"/>
        <v>3.73E-2</v>
      </c>
      <c r="Q308">
        <f t="shared" si="23"/>
        <v>-1.6399999999999998E-2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-4.0999999999999995E-3</v>
      </c>
      <c r="K309">
        <f t="shared" si="20"/>
        <v>9.276871000002844E-3</v>
      </c>
      <c r="L309">
        <f t="shared" si="24"/>
        <v>6.7768710000028435E-3</v>
      </c>
      <c r="N309">
        <f t="shared" si="21"/>
        <v>-6.6E-3</v>
      </c>
      <c r="P309">
        <f t="shared" si="22"/>
        <v>8.0999999999999996E-3</v>
      </c>
      <c r="Q309">
        <f t="shared" si="23"/>
        <v>-4.0000000000000001E-3</v>
      </c>
    </row>
    <row r="310" spans="1:17">
      <c r="A310">
        <v>195208</v>
      </c>
      <c r="B310">
        <v>-6.0999999999999995E-3</v>
      </c>
      <c r="C310">
        <v>1.15E-2</v>
      </c>
      <c r="D310">
        <v>4.0000000000000001E-3</v>
      </c>
      <c r="K310">
        <f t="shared" si="20"/>
        <v>-2.2960041250081786E-3</v>
      </c>
      <c r="L310">
        <f t="shared" si="24"/>
        <v>-4.7960041250081787E-3</v>
      </c>
      <c r="N310">
        <f t="shared" si="21"/>
        <v>1.5E-3</v>
      </c>
      <c r="P310">
        <f t="shared" si="22"/>
        <v>-8.6E-3</v>
      </c>
      <c r="Q310">
        <f t="shared" si="23"/>
        <v>1.15E-2</v>
      </c>
    </row>
    <row r="311" spans="1:17">
      <c r="A311">
        <v>195209</v>
      </c>
      <c r="B311">
        <v>-1.8699999999999998E-2</v>
      </c>
      <c r="C311">
        <v>1.11E-2</v>
      </c>
      <c r="D311">
        <v>-9.1999999999999998E-3</v>
      </c>
      <c r="K311">
        <f t="shared" si="20"/>
        <v>-1.5028317025007893E-2</v>
      </c>
      <c r="L311">
        <f t="shared" si="24"/>
        <v>-1.7528317025007893E-2</v>
      </c>
      <c r="N311">
        <f t="shared" si="21"/>
        <v>-1.17E-2</v>
      </c>
      <c r="P311">
        <f t="shared" si="22"/>
        <v>-2.1199999999999997E-2</v>
      </c>
      <c r="Q311">
        <f t="shared" si="23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4"/>
        <v>-1.1173213624992533E-2</v>
      </c>
      <c r="N312">
        <f t="shared" si="21"/>
        <v>3.9999999999999975E-4</v>
      </c>
      <c r="P312">
        <f t="shared" si="22"/>
        <v>-7.7000000000000002E-3</v>
      </c>
      <c r="Q312">
        <f t="shared" si="23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4"/>
        <v>5.5518367800005131E-2</v>
      </c>
      <c r="N313">
        <f t="shared" si="21"/>
        <v>7.0999999999999994E-2</v>
      </c>
      <c r="P313">
        <f t="shared" si="22"/>
        <v>5.7900000000000007E-2</v>
      </c>
      <c r="Q313">
        <f t="shared" si="23"/>
        <v>-7.1999999999999998E-3</v>
      </c>
    </row>
    <row r="314" spans="1:17">
      <c r="A314">
        <v>195212</v>
      </c>
      <c r="B314">
        <v>3.0900000000000004E-2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4"/>
        <v>2.3504422700010529E-2</v>
      </c>
      <c r="N314">
        <f t="shared" si="21"/>
        <v>4.7899999999999998E-2</v>
      </c>
      <c r="P314">
        <f t="shared" si="22"/>
        <v>2.8400000000000005E-2</v>
      </c>
      <c r="Q314">
        <f t="shared" si="23"/>
        <v>-1.4800000000000001E-2</v>
      </c>
    </row>
    <row r="315" spans="1:17">
      <c r="A315">
        <v>195301</v>
      </c>
      <c r="B315">
        <v>-1.8000000000000002E-3</v>
      </c>
      <c r="C315">
        <v>3.61E-2</v>
      </c>
      <c r="D315">
        <v>-3.9000000000000003E-3</v>
      </c>
      <c r="K315">
        <f t="shared" si="20"/>
        <v>1.0141239224974325E-2</v>
      </c>
      <c r="L315">
        <f t="shared" si="24"/>
        <v>7.641239224974325E-3</v>
      </c>
      <c r="N315">
        <f t="shared" si="21"/>
        <v>-6.4000000000000003E-3</v>
      </c>
      <c r="P315">
        <f t="shared" si="22"/>
        <v>-4.3E-3</v>
      </c>
      <c r="Q315">
        <f t="shared" si="23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4"/>
        <v>3.3118183749847089E-3</v>
      </c>
      <c r="N316">
        <f t="shared" si="21"/>
        <v>-8.6999999999999994E-3</v>
      </c>
      <c r="P316">
        <f t="shared" si="22"/>
        <v>-3.8E-3</v>
      </c>
      <c r="Q316">
        <f t="shared" si="23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4"/>
        <v>-1.5727720949998435E-2</v>
      </c>
      <c r="N317">
        <f t="shared" si="21"/>
        <v>-4.0899999999999999E-2</v>
      </c>
      <c r="P317">
        <f t="shared" si="22"/>
        <v>-1.5000000000000001E-2</v>
      </c>
      <c r="Q317">
        <f t="shared" si="23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-1.8500000000000003E-2</v>
      </c>
      <c r="K318">
        <f t="shared" si="20"/>
        <v>-2.5707653250002134E-2</v>
      </c>
      <c r="L318">
        <f t="shared" si="24"/>
        <v>-2.8207653250002133E-2</v>
      </c>
      <c r="N318">
        <f t="shared" si="21"/>
        <v>-2.1000000000000001E-2</v>
      </c>
      <c r="P318">
        <f t="shared" si="22"/>
        <v>-2.92E-2</v>
      </c>
      <c r="Q318">
        <f t="shared" si="23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4"/>
        <v>4.1684524250004979E-3</v>
      </c>
      <c r="N319">
        <f t="shared" si="21"/>
        <v>1.7900000000000003E-2</v>
      </c>
      <c r="P319">
        <f t="shared" si="22"/>
        <v>4.4000000000000011E-3</v>
      </c>
      <c r="Q319">
        <f t="shared" si="23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-2.3700000000000002E-2</v>
      </c>
      <c r="K320">
        <f t="shared" si="20"/>
        <v>-2.32856280749867E-2</v>
      </c>
      <c r="L320">
        <f t="shared" si="24"/>
        <v>-2.5785628074986699E-2</v>
      </c>
      <c r="N320">
        <f t="shared" si="21"/>
        <v>-2.6200000000000001E-2</v>
      </c>
      <c r="P320">
        <f t="shared" si="22"/>
        <v>-1.9599999999999999E-2</v>
      </c>
      <c r="Q320">
        <f t="shared" si="23"/>
        <v>-1.8700000000000001E-2</v>
      </c>
    </row>
    <row r="321" spans="1:17">
      <c r="A321">
        <v>195307</v>
      </c>
      <c r="B321">
        <v>2.5500000000000002E-2</v>
      </c>
      <c r="C321">
        <v>-9.9000000000000008E-3</v>
      </c>
      <c r="D321">
        <v>2.1800000000000003E-2</v>
      </c>
      <c r="K321">
        <f t="shared" si="20"/>
        <v>2.2225255725007043E-2</v>
      </c>
      <c r="L321">
        <f t="shared" si="24"/>
        <v>1.9725255725007045E-2</v>
      </c>
      <c r="N321">
        <f t="shared" si="21"/>
        <v>1.9300000000000005E-2</v>
      </c>
      <c r="P321">
        <f t="shared" si="22"/>
        <v>2.3000000000000003E-2</v>
      </c>
      <c r="Q321">
        <f t="shared" si="23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4"/>
        <v>-4.5007653250002132E-2</v>
      </c>
      <c r="N322">
        <f t="shared" si="21"/>
        <v>-6.0100000000000001E-2</v>
      </c>
      <c r="P322">
        <f t="shared" si="22"/>
        <v>-4.5999999999999999E-2</v>
      </c>
      <c r="Q322">
        <f t="shared" si="23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1.3200000000000002E-2</v>
      </c>
      <c r="K323">
        <f t="shared" ref="K323:K386" si="25">SUMPRODUCT($G$12:$H$12,B323:C323)</f>
        <v>8.8758555000583231E-4</v>
      </c>
      <c r="L323">
        <f t="shared" si="24"/>
        <v>-1.6124144499941677E-3</v>
      </c>
      <c r="N323">
        <f t="shared" ref="N323:N386" si="26">D323-$I$7</f>
        <v>1.0700000000000001E-2</v>
      </c>
      <c r="P323">
        <f t="shared" ref="P323:P386" si="27">B323-0.0025</f>
        <v>1.0999999999999998E-3</v>
      </c>
      <c r="Q323">
        <f t="shared" ref="Q323:Q386" si="28">C323</f>
        <v>-8.199999999999999E-3</v>
      </c>
    </row>
    <row r="324" spans="1:17">
      <c r="A324">
        <v>195310</v>
      </c>
      <c r="B324">
        <v>4.7300000000000002E-2</v>
      </c>
      <c r="C324">
        <v>-1.3700000000000002E-2</v>
      </c>
      <c r="D324">
        <v>3.6900000000000002E-2</v>
      </c>
      <c r="K324">
        <f t="shared" si="25"/>
        <v>4.2768283175009747E-2</v>
      </c>
      <c r="L324">
        <f t="shared" ref="L324:L387" si="29">K324-$I$7</f>
        <v>4.0268283175009745E-2</v>
      </c>
      <c r="N324">
        <f t="shared" si="26"/>
        <v>3.44E-2</v>
      </c>
      <c r="P324">
        <f t="shared" si="27"/>
        <v>4.48E-2</v>
      </c>
      <c r="Q324">
        <f t="shared" si="28"/>
        <v>-1.3700000000000002E-2</v>
      </c>
    </row>
    <row r="325" spans="1:17">
      <c r="A325">
        <v>195311</v>
      </c>
      <c r="B325">
        <v>2.9100000000000001E-2</v>
      </c>
      <c r="C325">
        <v>-1.3200000000000002E-2</v>
      </c>
      <c r="D325">
        <v>4.7E-2</v>
      </c>
      <c r="K325">
        <f t="shared" si="25"/>
        <v>2.4733674300009389E-2</v>
      </c>
      <c r="L325">
        <f t="shared" si="29"/>
        <v>2.2233674300009391E-2</v>
      </c>
      <c r="N325">
        <f t="shared" si="26"/>
        <v>4.4499999999999998E-2</v>
      </c>
      <c r="P325">
        <f t="shared" si="27"/>
        <v>2.6600000000000002E-2</v>
      </c>
      <c r="Q325">
        <f t="shared" si="28"/>
        <v>-1.3200000000000002E-2</v>
      </c>
    </row>
    <row r="326" spans="1:17">
      <c r="A326">
        <v>195312</v>
      </c>
      <c r="B326">
        <v>1.6000000000000001E-3</v>
      </c>
      <c r="C326">
        <v>-8.6E-3</v>
      </c>
      <c r="D326">
        <v>1.1899999999999999E-2</v>
      </c>
      <c r="K326">
        <f t="shared" si="25"/>
        <v>-1.2447273499938836E-3</v>
      </c>
      <c r="L326">
        <f t="shared" si="29"/>
        <v>-3.7447273499938835E-3</v>
      </c>
      <c r="N326">
        <f t="shared" si="26"/>
        <v>9.3999999999999986E-3</v>
      </c>
      <c r="P326">
        <f t="shared" si="27"/>
        <v>-8.9999999999999998E-4</v>
      </c>
      <c r="Q326">
        <f t="shared" si="28"/>
        <v>-8.6E-3</v>
      </c>
    </row>
    <row r="327" spans="1:17">
      <c r="A327">
        <v>195401</v>
      </c>
      <c r="B327">
        <v>5.2399999999999995E-2</v>
      </c>
      <c r="C327">
        <v>5.0000000000000001E-3</v>
      </c>
      <c r="D327">
        <v>4.8499999999999995E-2</v>
      </c>
      <c r="K327">
        <f t="shared" si="25"/>
        <v>5.4053911249996436E-2</v>
      </c>
      <c r="L327">
        <f t="shared" si="29"/>
        <v>5.1553911249996434E-2</v>
      </c>
      <c r="N327">
        <f t="shared" si="26"/>
        <v>4.5999999999999992E-2</v>
      </c>
      <c r="P327">
        <f t="shared" si="27"/>
        <v>4.9899999999999993E-2</v>
      </c>
      <c r="Q327">
        <f t="shared" si="28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9"/>
        <v>1.4238435500001421E-2</v>
      </c>
      <c r="N328">
        <f t="shared" si="26"/>
        <v>3.2399999999999998E-2</v>
      </c>
      <c r="P328">
        <f t="shared" si="27"/>
        <v>1.4899999999999998E-2</v>
      </c>
      <c r="Q328">
        <f t="shared" si="28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9"/>
        <v>3.3079932300003695E-2</v>
      </c>
      <c r="N329">
        <f t="shared" si="26"/>
        <v>6.9699999999999998E-2</v>
      </c>
      <c r="P329">
        <f t="shared" si="27"/>
        <v>3.4799999999999998E-2</v>
      </c>
      <c r="Q329">
        <f t="shared" si="28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9"/>
        <v>2.9787247050024317E-2</v>
      </c>
      <c r="N330">
        <f t="shared" si="26"/>
        <v>7.8800000000000009E-2</v>
      </c>
      <c r="P330">
        <f t="shared" si="27"/>
        <v>4.1099999999999991E-2</v>
      </c>
      <c r="Q330">
        <f t="shared" si="28"/>
        <v>-3.4200000000000001E-2</v>
      </c>
    </row>
    <row r="331" spans="1:17">
      <c r="A331">
        <v>195405</v>
      </c>
      <c r="B331">
        <v>3.1399999999999997E-2</v>
      </c>
      <c r="C331">
        <v>4.0999999999999995E-3</v>
      </c>
      <c r="D331">
        <v>9.5999999999999992E-3</v>
      </c>
      <c r="K331">
        <f t="shared" si="25"/>
        <v>3.2756207224997079E-2</v>
      </c>
      <c r="L331">
        <f t="shared" si="29"/>
        <v>3.025620722499708E-2</v>
      </c>
      <c r="N331">
        <f t="shared" si="26"/>
        <v>7.0999999999999987E-3</v>
      </c>
      <c r="P331">
        <f t="shared" si="27"/>
        <v>2.8899999999999999E-2</v>
      </c>
      <c r="Q331">
        <f t="shared" si="28"/>
        <v>4.0999999999999995E-3</v>
      </c>
    </row>
    <row r="332" spans="1:17">
      <c r="A332">
        <v>195406</v>
      </c>
      <c r="B332">
        <v>1.1300000000000001E-2</v>
      </c>
      <c r="C332">
        <v>3.9000000000000003E-3</v>
      </c>
      <c r="D332">
        <v>4.8499999999999995E-2</v>
      </c>
      <c r="K332">
        <f t="shared" si="25"/>
        <v>1.2590050774997228E-2</v>
      </c>
      <c r="L332">
        <f t="shared" si="29"/>
        <v>1.0090050774997228E-2</v>
      </c>
      <c r="N332">
        <f t="shared" si="26"/>
        <v>4.5999999999999992E-2</v>
      </c>
      <c r="P332">
        <f t="shared" si="27"/>
        <v>8.8000000000000005E-3</v>
      </c>
      <c r="Q332">
        <f t="shared" si="28"/>
        <v>3.9000000000000003E-3</v>
      </c>
    </row>
    <row r="333" spans="1:17">
      <c r="A333">
        <v>195407</v>
      </c>
      <c r="B333">
        <v>5.04E-2</v>
      </c>
      <c r="C333">
        <v>1.06E-2</v>
      </c>
      <c r="D333">
        <v>2.8399999999999998E-2</v>
      </c>
      <c r="K333">
        <f t="shared" si="25"/>
        <v>5.390629184999246E-2</v>
      </c>
      <c r="L333">
        <f t="shared" si="29"/>
        <v>5.1406291849992458E-2</v>
      </c>
      <c r="N333">
        <f t="shared" si="26"/>
        <v>2.5899999999999999E-2</v>
      </c>
      <c r="P333">
        <f t="shared" si="27"/>
        <v>4.7899999999999998E-2</v>
      </c>
      <c r="Q333">
        <f t="shared" si="28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9"/>
        <v>-1.6501957475019133E-2</v>
      </c>
      <c r="N334">
        <f t="shared" si="26"/>
        <v>-4.4299999999999999E-2</v>
      </c>
      <c r="P334">
        <f t="shared" si="27"/>
        <v>-2.5399999999999999E-2</v>
      </c>
      <c r="Q334">
        <f t="shared" si="28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9"/>
        <v>5.3931209075017986E-2</v>
      </c>
      <c r="N335">
        <f t="shared" si="26"/>
        <v>6.8900000000000003E-2</v>
      </c>
      <c r="P335">
        <f t="shared" si="27"/>
        <v>6.2299999999999994E-2</v>
      </c>
      <c r="Q335">
        <f t="shared" si="28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-3.4000000000000002E-3</v>
      </c>
      <c r="K336">
        <f t="shared" si="25"/>
        <v>-1.3949150050004411E-2</v>
      </c>
      <c r="L336">
        <f t="shared" si="29"/>
        <v>-1.644915005000441E-2</v>
      </c>
      <c r="N336">
        <f t="shared" si="26"/>
        <v>-5.9000000000000007E-3</v>
      </c>
      <c r="P336">
        <f t="shared" si="27"/>
        <v>-1.8499999999999999E-2</v>
      </c>
      <c r="Q336">
        <f t="shared" si="28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9"/>
        <v>8.3233505050018641E-2</v>
      </c>
      <c r="N337">
        <f t="shared" si="26"/>
        <v>0.105</v>
      </c>
      <c r="P337">
        <f t="shared" si="27"/>
        <v>9.1900000000000009E-2</v>
      </c>
      <c r="Q337">
        <f t="shared" si="28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9"/>
        <v>6.0112583699984928E-2</v>
      </c>
      <c r="N338">
        <f t="shared" si="26"/>
        <v>6.2699999999999992E-2</v>
      </c>
      <c r="P338">
        <f t="shared" si="27"/>
        <v>5.3100000000000008E-2</v>
      </c>
      <c r="Q338">
        <f t="shared" si="28"/>
        <v>2.12E-2</v>
      </c>
    </row>
    <row r="339" spans="1:17">
      <c r="A339">
        <v>195501</v>
      </c>
      <c r="B339">
        <v>6.8000000000000005E-3</v>
      </c>
      <c r="C339">
        <v>3.5999999999999999E-3</v>
      </c>
      <c r="D339">
        <v>4.1600000000000005E-2</v>
      </c>
      <c r="K339">
        <f t="shared" si="25"/>
        <v>7.9908160999974404E-3</v>
      </c>
      <c r="L339">
        <f t="shared" si="29"/>
        <v>5.4908160999974399E-3</v>
      </c>
      <c r="N339">
        <f t="shared" si="26"/>
        <v>3.9100000000000003E-2</v>
      </c>
      <c r="P339">
        <f t="shared" si="27"/>
        <v>4.3E-3</v>
      </c>
      <c r="Q339">
        <f t="shared" si="28"/>
        <v>3.5999999999999999E-3</v>
      </c>
    </row>
    <row r="340" spans="1:17">
      <c r="A340">
        <v>195502</v>
      </c>
      <c r="B340">
        <v>3.1100000000000003E-2</v>
      </c>
      <c r="C340">
        <v>1.5900000000000001E-2</v>
      </c>
      <c r="D340">
        <v>3.7000000000000005E-2</v>
      </c>
      <c r="K340">
        <f t="shared" si="25"/>
        <v>3.6359437774988693E-2</v>
      </c>
      <c r="L340">
        <f t="shared" si="29"/>
        <v>3.385943777498869E-2</v>
      </c>
      <c r="N340">
        <f t="shared" si="26"/>
        <v>3.4500000000000003E-2</v>
      </c>
      <c r="P340">
        <f t="shared" si="27"/>
        <v>2.8600000000000004E-2</v>
      </c>
      <c r="Q340">
        <f t="shared" si="28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9"/>
        <v>-5.5477886499947365E-3</v>
      </c>
      <c r="N341">
        <f t="shared" si="26"/>
        <v>1.5100000000000001E-2</v>
      </c>
      <c r="P341">
        <f t="shared" si="27"/>
        <v>-3.1000000000000003E-3</v>
      </c>
      <c r="Q341">
        <f t="shared" si="28"/>
        <v>-7.4000000000000003E-3</v>
      </c>
    </row>
    <row r="342" spans="1:17">
      <c r="A342">
        <v>195504</v>
      </c>
      <c r="B342">
        <v>3.2099999999999997E-2</v>
      </c>
      <c r="C342">
        <v>-1.6200000000000003E-2</v>
      </c>
      <c r="D342">
        <v>2.8199999999999999E-2</v>
      </c>
      <c r="K342">
        <f t="shared" si="25"/>
        <v>2.6741327550011518E-2</v>
      </c>
      <c r="L342">
        <f t="shared" si="29"/>
        <v>2.4241327550011519E-2</v>
      </c>
      <c r="N342">
        <f t="shared" si="26"/>
        <v>2.5700000000000001E-2</v>
      </c>
      <c r="P342">
        <f t="shared" si="27"/>
        <v>2.9599999999999998E-2</v>
      </c>
      <c r="Q342">
        <f t="shared" si="28"/>
        <v>-1.6200000000000003E-2</v>
      </c>
    </row>
    <row r="343" spans="1:17">
      <c r="A343">
        <v>195505</v>
      </c>
      <c r="B343">
        <v>1.0700000000000001E-2</v>
      </c>
      <c r="C343">
        <v>-2.8000000000000004E-3</v>
      </c>
      <c r="D343">
        <v>1.9599999999999999E-2</v>
      </c>
      <c r="K343">
        <f t="shared" si="25"/>
        <v>9.7738097000019918E-3</v>
      </c>
      <c r="L343">
        <f t="shared" si="29"/>
        <v>7.2738097000019913E-3</v>
      </c>
      <c r="N343">
        <f t="shared" si="26"/>
        <v>1.7100000000000001E-2</v>
      </c>
      <c r="P343">
        <f t="shared" si="27"/>
        <v>8.2000000000000007E-3</v>
      </c>
      <c r="Q343">
        <f t="shared" si="28"/>
        <v>-2.8000000000000004E-3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9"/>
        <v>4.8618625375033073E-2</v>
      </c>
      <c r="N344">
        <f t="shared" si="26"/>
        <v>7.9600000000000004E-2</v>
      </c>
      <c r="P344">
        <f t="shared" si="27"/>
        <v>6.4000000000000001E-2</v>
      </c>
      <c r="Q344">
        <f t="shared" si="28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9"/>
        <v>1.369600412500818E-2</v>
      </c>
      <c r="N345">
        <f t="shared" si="26"/>
        <v>-6.3E-3</v>
      </c>
      <c r="P345">
        <f t="shared" si="27"/>
        <v>1.7500000000000002E-2</v>
      </c>
      <c r="Q345">
        <f t="shared" si="28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9"/>
        <v>-2.5544189999687035E-4</v>
      </c>
      <c r="N346">
        <f t="shared" si="26"/>
        <v>3.5799999999999998E-2</v>
      </c>
      <c r="P346">
        <f t="shared" si="27"/>
        <v>1.2000000000000001E-3</v>
      </c>
      <c r="Q346">
        <f t="shared" si="28"/>
        <v>-4.4000000000000003E-3</v>
      </c>
    </row>
    <row r="347" spans="1:17">
      <c r="A347">
        <v>195509</v>
      </c>
      <c r="B347">
        <v>-2E-3</v>
      </c>
      <c r="C347">
        <v>2.8000000000000004E-3</v>
      </c>
      <c r="D347">
        <v>5.4800000000000008E-2</v>
      </c>
      <c r="K347">
        <f t="shared" si="25"/>
        <v>-1.0738097000019913E-3</v>
      </c>
      <c r="L347">
        <f t="shared" si="29"/>
        <v>-3.5738097000019911E-3</v>
      </c>
      <c r="N347">
        <f t="shared" si="26"/>
        <v>5.2300000000000006E-2</v>
      </c>
      <c r="P347">
        <f t="shared" si="27"/>
        <v>-4.5000000000000005E-3</v>
      </c>
      <c r="Q347">
        <f t="shared" si="28"/>
        <v>2.8000000000000004E-3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9"/>
        <v>-2.2472109800010812E-2</v>
      </c>
      <c r="N348">
        <f t="shared" si="26"/>
        <v>-5.5100000000000003E-2</v>
      </c>
      <c r="P348">
        <f t="shared" si="27"/>
        <v>-2.75E-2</v>
      </c>
      <c r="Q348">
        <f t="shared" si="28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9"/>
        <v>6.2255868725015581E-2</v>
      </c>
      <c r="N349">
        <f t="shared" si="26"/>
        <v>8.77E-2</v>
      </c>
      <c r="P349">
        <f t="shared" si="27"/>
        <v>6.9500000000000006E-2</v>
      </c>
      <c r="Q349">
        <f t="shared" si="28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9"/>
        <v>2.1179505474984994E-2</v>
      </c>
      <c r="N350">
        <f t="shared" si="26"/>
        <v>-1.26E-2</v>
      </c>
      <c r="P350">
        <f t="shared" si="27"/>
        <v>1.4199999999999999E-2</v>
      </c>
      <c r="Q350">
        <f t="shared" si="28"/>
        <v>2.1100000000000001E-2</v>
      </c>
    </row>
    <row r="351" spans="1:17">
      <c r="A351">
        <v>195601</v>
      </c>
      <c r="B351">
        <v>-2.8099999999999997E-2</v>
      </c>
      <c r="C351">
        <v>4.0999999999999995E-3</v>
      </c>
      <c r="D351">
        <v>-5.9400000000000008E-2</v>
      </c>
      <c r="K351">
        <f t="shared" si="25"/>
        <v>-2.6743792775002911E-2</v>
      </c>
      <c r="L351">
        <f t="shared" si="29"/>
        <v>-2.924379277500291E-2</v>
      </c>
      <c r="N351">
        <f t="shared" si="26"/>
        <v>-6.1900000000000011E-2</v>
      </c>
      <c r="P351">
        <f t="shared" si="27"/>
        <v>-3.0599999999999995E-2</v>
      </c>
      <c r="Q351">
        <f t="shared" si="28"/>
        <v>4.0999999999999995E-3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5.3700000000000005E-2</v>
      </c>
      <c r="K352">
        <f t="shared" si="25"/>
        <v>3.6358333950006975E-2</v>
      </c>
      <c r="L352">
        <f t="shared" si="29"/>
        <v>3.3858333950006973E-2</v>
      </c>
      <c r="N352">
        <f t="shared" si="26"/>
        <v>5.1200000000000002E-2</v>
      </c>
      <c r="P352">
        <f t="shared" si="27"/>
        <v>3.7100000000000001E-2</v>
      </c>
      <c r="Q352">
        <f t="shared" si="28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9"/>
        <v>5.8420494525015007E-2</v>
      </c>
      <c r="N353">
        <f t="shared" si="26"/>
        <v>6.4000000000000001E-2</v>
      </c>
      <c r="P353">
        <f t="shared" si="27"/>
        <v>6.54E-2</v>
      </c>
      <c r="Q353">
        <f t="shared" si="28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9"/>
        <v>2.3323128999997154E-3</v>
      </c>
      <c r="N354">
        <f t="shared" si="26"/>
        <v>1.67E-2</v>
      </c>
      <c r="P354">
        <f t="shared" si="27"/>
        <v>2.2000000000000001E-3</v>
      </c>
      <c r="Q354">
        <f t="shared" si="28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9"/>
        <v>-4.7370579150010396E-2</v>
      </c>
      <c r="N355">
        <f t="shared" si="26"/>
        <v>-5.7800000000000004E-2</v>
      </c>
      <c r="P355">
        <f t="shared" si="27"/>
        <v>-5.220000000000001E-2</v>
      </c>
      <c r="Q355">
        <f t="shared" si="28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9"/>
        <v>2.9404422700010525E-2</v>
      </c>
      <c r="N356">
        <f t="shared" si="26"/>
        <v>3.1099999999999999E-2</v>
      </c>
      <c r="P356">
        <f t="shared" si="27"/>
        <v>3.4299999999999997E-2</v>
      </c>
      <c r="Q356">
        <f t="shared" si="28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9"/>
        <v>4.2542858200011947E-2</v>
      </c>
      <c r="N357">
        <f t="shared" si="26"/>
        <v>7.8100000000000003E-2</v>
      </c>
      <c r="P357">
        <f t="shared" si="27"/>
        <v>4.8099999999999997E-2</v>
      </c>
      <c r="Q357">
        <f t="shared" si="28"/>
        <v>-1.6799999999999999E-2</v>
      </c>
    </row>
    <row r="358" spans="1:17">
      <c r="A358">
        <v>195608</v>
      </c>
      <c r="B358">
        <v>-3.0100000000000002E-2</v>
      </c>
      <c r="C358">
        <v>1.9099999999999999E-2</v>
      </c>
      <c r="D358">
        <v>-4.6300000000000001E-2</v>
      </c>
      <c r="K358">
        <f t="shared" si="25"/>
        <v>-2.3782059025013586E-2</v>
      </c>
      <c r="L358">
        <f t="shared" si="29"/>
        <v>-2.6282059025013585E-2</v>
      </c>
      <c r="N358">
        <f t="shared" si="26"/>
        <v>-4.8800000000000003E-2</v>
      </c>
      <c r="P358">
        <f t="shared" si="27"/>
        <v>-3.2600000000000004E-2</v>
      </c>
      <c r="Q358">
        <f t="shared" si="28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9"/>
        <v>-4.7005953350010954E-2</v>
      </c>
      <c r="N359">
        <f t="shared" si="26"/>
        <v>-7.0400000000000004E-2</v>
      </c>
      <c r="P359">
        <f t="shared" si="27"/>
        <v>-5.21E-2</v>
      </c>
      <c r="Q359">
        <f t="shared" si="28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9"/>
        <v>4.8361395250007821E-3</v>
      </c>
      <c r="N360">
        <f t="shared" si="26"/>
        <v>9.2999999999999992E-3</v>
      </c>
      <c r="P360">
        <f t="shared" si="27"/>
        <v>5.1999999999999998E-3</v>
      </c>
      <c r="Q360">
        <f t="shared" si="28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9"/>
        <v>2.570748400001138E-3</v>
      </c>
      <c r="N361">
        <f t="shared" si="26"/>
        <v>2.8400000000000002E-2</v>
      </c>
      <c r="P361">
        <f t="shared" si="27"/>
        <v>3.0999999999999999E-3</v>
      </c>
      <c r="Q361">
        <f t="shared" si="28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9"/>
        <v>3.1367687100000284E-2</v>
      </c>
      <c r="N362">
        <f t="shared" si="26"/>
        <v>7.1300000000000002E-2</v>
      </c>
      <c r="P362">
        <f t="shared" si="27"/>
        <v>3.15E-2</v>
      </c>
      <c r="Q362">
        <f t="shared" si="28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9"/>
        <v>-2.4618029300023606E-2</v>
      </c>
      <c r="N363">
        <f t="shared" si="26"/>
        <v>-5.9000000000000004E-2</v>
      </c>
      <c r="P363">
        <f t="shared" si="27"/>
        <v>-3.56E-2</v>
      </c>
      <c r="Q363">
        <f t="shared" si="28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9"/>
        <v>-2.2817006399995447E-2</v>
      </c>
      <c r="N364">
        <f t="shared" si="26"/>
        <v>-1.09E-2</v>
      </c>
      <c r="P364">
        <f t="shared" si="27"/>
        <v>-2.07E-2</v>
      </c>
      <c r="Q364">
        <f t="shared" si="28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9"/>
        <v>2.2125424974997795E-2</v>
      </c>
      <c r="N365">
        <f t="shared" si="26"/>
        <v>3.6899999999999995E-2</v>
      </c>
      <c r="P365">
        <f t="shared" si="27"/>
        <v>2.1100000000000001E-2</v>
      </c>
      <c r="Q365">
        <f t="shared" si="28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9"/>
        <v>3.7307484000011382E-2</v>
      </c>
      <c r="N366">
        <f t="shared" si="26"/>
        <v>6.8199999999999997E-2</v>
      </c>
      <c r="P366">
        <f t="shared" si="27"/>
        <v>4.2599999999999999E-2</v>
      </c>
      <c r="Q366">
        <f t="shared" si="28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5.5999999999999994E-2</v>
      </c>
      <c r="K367">
        <f t="shared" si="25"/>
        <v>3.3726021050007257E-2</v>
      </c>
      <c r="L367">
        <f t="shared" si="29"/>
        <v>3.1226021050007258E-2</v>
      </c>
      <c r="N367">
        <f t="shared" si="26"/>
        <v>5.3499999999999992E-2</v>
      </c>
      <c r="P367">
        <f t="shared" si="27"/>
        <v>3.4599999999999999E-2</v>
      </c>
      <c r="Q367">
        <f t="shared" si="28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2.4900000000000002E-2</v>
      </c>
      <c r="K368">
        <f t="shared" si="25"/>
        <v>-3.2137758500038415E-3</v>
      </c>
      <c r="L368">
        <f t="shared" si="29"/>
        <v>-5.7137758500038415E-3</v>
      </c>
      <c r="N368">
        <f t="shared" si="26"/>
        <v>2.2400000000000003E-2</v>
      </c>
      <c r="P368">
        <f t="shared" si="27"/>
        <v>-7.5000000000000015E-3</v>
      </c>
      <c r="Q368">
        <f t="shared" si="28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-1.1399999999999999E-2</v>
      </c>
      <c r="K369">
        <f t="shared" si="25"/>
        <v>7.0860549000054066E-3</v>
      </c>
      <c r="L369">
        <f t="shared" si="29"/>
        <v>4.5860549000054061E-3</v>
      </c>
      <c r="N369">
        <f t="shared" si="26"/>
        <v>-1.3899999999999999E-2</v>
      </c>
      <c r="P369">
        <f t="shared" si="27"/>
        <v>7.1000000000000004E-3</v>
      </c>
      <c r="Q369">
        <f t="shared" si="28"/>
        <v>-7.6E-3</v>
      </c>
    </row>
    <row r="370" spans="1:17">
      <c r="A370">
        <v>195708</v>
      </c>
      <c r="B370">
        <v>-4.8600000000000004E-2</v>
      </c>
      <c r="C370">
        <v>5.0000000000000001E-4</v>
      </c>
      <c r="D370">
        <v>-6.83E-2</v>
      </c>
      <c r="K370">
        <f t="shared" si="25"/>
        <v>-4.8434608875000361E-2</v>
      </c>
      <c r="L370">
        <f t="shared" si="29"/>
        <v>-5.0934608875000363E-2</v>
      </c>
      <c r="N370">
        <f t="shared" si="26"/>
        <v>-7.0800000000000002E-2</v>
      </c>
      <c r="P370">
        <f t="shared" si="27"/>
        <v>-5.1100000000000007E-2</v>
      </c>
      <c r="Q370">
        <f t="shared" si="28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9"/>
        <v>-5.9435374200000578E-2</v>
      </c>
      <c r="N371">
        <f t="shared" si="26"/>
        <v>-6.1400000000000003E-2</v>
      </c>
      <c r="P371">
        <f t="shared" si="27"/>
        <v>-5.970000000000001E-2</v>
      </c>
      <c r="Q371">
        <f t="shared" si="28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9"/>
        <v>-5.1135712699982086E-2</v>
      </c>
      <c r="N372">
        <f t="shared" si="26"/>
        <v>-3.3399999999999999E-2</v>
      </c>
      <c r="P372">
        <f t="shared" si="27"/>
        <v>-4.2800000000000005E-2</v>
      </c>
      <c r="Q372">
        <f t="shared" si="28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9"/>
        <v>2.4623128999997156E-2</v>
      </c>
      <c r="N373">
        <f t="shared" si="26"/>
        <v>6.3700000000000007E-2</v>
      </c>
      <c r="P373">
        <f t="shared" si="27"/>
        <v>2.3300000000000001E-2</v>
      </c>
      <c r="Q373">
        <f t="shared" si="28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9"/>
        <v>-4.2441666049993033E-2</v>
      </c>
      <c r="N374">
        <f t="shared" si="26"/>
        <v>-2.7699999999999999E-2</v>
      </c>
      <c r="P374">
        <f t="shared" si="27"/>
        <v>-3.9200000000000006E-2</v>
      </c>
      <c r="Q374">
        <f t="shared" si="28"/>
        <v>-9.7999999999999997E-3</v>
      </c>
    </row>
    <row r="375" spans="1:17">
      <c r="A375">
        <v>195801</v>
      </c>
      <c r="B375">
        <v>4.9399999999999999E-2</v>
      </c>
      <c r="C375">
        <v>4.3899999999999995E-2</v>
      </c>
      <c r="D375">
        <v>2.23E-2</v>
      </c>
      <c r="K375">
        <f t="shared" si="25"/>
        <v>6.3921340774968777E-2</v>
      </c>
      <c r="L375">
        <f t="shared" si="29"/>
        <v>6.1421340774968775E-2</v>
      </c>
      <c r="N375">
        <f t="shared" si="26"/>
        <v>1.9800000000000002E-2</v>
      </c>
      <c r="P375">
        <f t="shared" si="27"/>
        <v>4.6899999999999997E-2</v>
      </c>
      <c r="Q375">
        <f t="shared" si="28"/>
        <v>4.3899999999999995E-2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9"/>
        <v>-1.4349915375004624E-2</v>
      </c>
      <c r="N376">
        <f t="shared" si="26"/>
        <v>-2.0000000000000009E-4</v>
      </c>
      <c r="P376">
        <f t="shared" si="27"/>
        <v>-1.6500000000000001E-2</v>
      </c>
      <c r="Q376">
        <f t="shared" si="28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9"/>
        <v>3.3250084624995374E-2</v>
      </c>
      <c r="N377">
        <f t="shared" si="26"/>
        <v>4.6699999999999998E-2</v>
      </c>
      <c r="P377">
        <f t="shared" si="27"/>
        <v>3.1099999999999999E-2</v>
      </c>
      <c r="Q377">
        <f t="shared" si="28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9"/>
        <v>2.7149150050004411E-2</v>
      </c>
      <c r="N378">
        <f t="shared" si="26"/>
        <v>3.2599999999999997E-2</v>
      </c>
      <c r="P378">
        <f t="shared" si="27"/>
        <v>2.92E-2</v>
      </c>
      <c r="Q378">
        <f t="shared" si="28"/>
        <v>-6.1999999999999998E-3</v>
      </c>
    </row>
    <row r="379" spans="1:17">
      <c r="A379">
        <v>195805</v>
      </c>
      <c r="B379">
        <v>2.4200000000000003E-2</v>
      </c>
      <c r="C379">
        <v>2.1600000000000001E-2</v>
      </c>
      <c r="D379">
        <v>1.3500000000000002E-2</v>
      </c>
      <c r="K379">
        <f t="shared" si="25"/>
        <v>3.1344896599984642E-2</v>
      </c>
      <c r="L379">
        <f t="shared" si="29"/>
        <v>2.8844896599984644E-2</v>
      </c>
      <c r="N379">
        <f t="shared" si="26"/>
        <v>1.1000000000000001E-2</v>
      </c>
      <c r="P379">
        <f t="shared" si="27"/>
        <v>2.1700000000000004E-2</v>
      </c>
      <c r="Q379">
        <f t="shared" si="28"/>
        <v>2.1600000000000001E-2</v>
      </c>
    </row>
    <row r="380" spans="1:17">
      <c r="A380">
        <v>195806</v>
      </c>
      <c r="B380">
        <v>2.9600000000000005E-2</v>
      </c>
      <c r="C380">
        <v>-1.9E-3</v>
      </c>
      <c r="D380">
        <v>3.3599999999999998E-2</v>
      </c>
      <c r="K380">
        <f t="shared" si="25"/>
        <v>2.8971513725001355E-2</v>
      </c>
      <c r="L380">
        <f t="shared" si="29"/>
        <v>2.6471513725001356E-2</v>
      </c>
      <c r="N380">
        <f t="shared" si="26"/>
        <v>3.1099999999999999E-2</v>
      </c>
      <c r="P380">
        <f t="shared" si="27"/>
        <v>2.7100000000000006E-2</v>
      </c>
      <c r="Q380">
        <f t="shared" si="28"/>
        <v>-1.9E-3</v>
      </c>
    </row>
    <row r="381" spans="1:17">
      <c r="A381">
        <v>195807</v>
      </c>
      <c r="B381">
        <v>4.4599999999999994E-2</v>
      </c>
      <c r="C381">
        <v>4.7999999999999996E-3</v>
      </c>
      <c r="D381">
        <v>1.7000000000000001E-2</v>
      </c>
      <c r="K381">
        <f t="shared" si="25"/>
        <v>4.618775479999658E-2</v>
      </c>
      <c r="L381">
        <f t="shared" si="29"/>
        <v>4.3687754799996578E-2</v>
      </c>
      <c r="N381">
        <f t="shared" si="26"/>
        <v>1.4500000000000001E-2</v>
      </c>
      <c r="P381">
        <f t="shared" si="27"/>
        <v>4.2099999999999992E-2</v>
      </c>
      <c r="Q381">
        <f t="shared" si="28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9"/>
        <v>2.090323054999161E-2</v>
      </c>
      <c r="N382">
        <f t="shared" si="26"/>
        <v>2.1700000000000001E-2</v>
      </c>
      <c r="P382">
        <f t="shared" si="27"/>
        <v>1.7000000000000001E-2</v>
      </c>
      <c r="Q382">
        <f t="shared" si="28"/>
        <v>1.18E-2</v>
      </c>
    </row>
    <row r="383" spans="1:17">
      <c r="A383">
        <v>195809</v>
      </c>
      <c r="B383">
        <v>4.8500000000000001E-2</v>
      </c>
      <c r="C383">
        <v>1.3000000000000002E-3</v>
      </c>
      <c r="D383">
        <v>5.62E-2</v>
      </c>
      <c r="K383">
        <f t="shared" si="25"/>
        <v>4.8930016924999077E-2</v>
      </c>
      <c r="L383">
        <f t="shared" si="29"/>
        <v>4.6430016924999075E-2</v>
      </c>
      <c r="N383">
        <f t="shared" si="26"/>
        <v>5.3699999999999998E-2</v>
      </c>
      <c r="P383">
        <f t="shared" si="27"/>
        <v>4.5999999999999999E-2</v>
      </c>
      <c r="Q383">
        <f t="shared" si="28"/>
        <v>1.3000000000000002E-3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6.1399999999999996E-2</v>
      </c>
      <c r="K384">
        <f t="shared" si="25"/>
        <v>3.0672448299992317E-2</v>
      </c>
      <c r="L384">
        <f t="shared" si="29"/>
        <v>2.8172448299992318E-2</v>
      </c>
      <c r="N384">
        <f t="shared" si="26"/>
        <v>5.8899999999999994E-2</v>
      </c>
      <c r="P384">
        <f t="shared" si="27"/>
        <v>2.46E-2</v>
      </c>
      <c r="Q384">
        <f t="shared" si="28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9"/>
        <v>3.5216410324985986E-2</v>
      </c>
      <c r="N385">
        <f t="shared" si="26"/>
        <v>6.6299999999999998E-2</v>
      </c>
      <c r="P385">
        <f t="shared" si="27"/>
        <v>2.87E-2</v>
      </c>
      <c r="Q385">
        <f t="shared" si="28"/>
        <v>1.9699999999999999E-2</v>
      </c>
    </row>
    <row r="386" spans="1:17">
      <c r="A386">
        <v>195812</v>
      </c>
      <c r="B386">
        <v>5.3700000000000005E-2</v>
      </c>
      <c r="C386">
        <v>-2.0299999999999999E-2</v>
      </c>
      <c r="D386">
        <v>5.2800000000000007E-2</v>
      </c>
      <c r="K386">
        <f t="shared" si="25"/>
        <v>4.6985120325014444E-2</v>
      </c>
      <c r="L386">
        <f t="shared" si="29"/>
        <v>4.4485120325014442E-2</v>
      </c>
      <c r="N386">
        <f t="shared" si="26"/>
        <v>5.0300000000000004E-2</v>
      </c>
      <c r="P386">
        <f t="shared" si="27"/>
        <v>5.1200000000000002E-2</v>
      </c>
      <c r="Q386">
        <f t="shared" si="28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si="29"/>
        <v>1.6689623949978524E-2</v>
      </c>
      <c r="N387">
        <f t="shared" ref="N387:N450" si="31">D387-$I$7</f>
        <v>2.2000000000000001E-3</v>
      </c>
      <c r="P387">
        <f t="shared" ref="P387:P450" si="32">B387-0.0025</f>
        <v>6.6999999999999994E-3</v>
      </c>
      <c r="Q387">
        <f t="shared" ref="Q387:Q450" si="33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ref="L388:L451" si="34">K388-$I$7</f>
        <v>1.3729420849989614E-2</v>
      </c>
      <c r="N388">
        <f t="shared" si="31"/>
        <v>3.95E-2</v>
      </c>
      <c r="P388">
        <f t="shared" si="32"/>
        <v>8.8999999999999999E-3</v>
      </c>
      <c r="Q388">
        <f t="shared" si="33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4"/>
        <v>7.4286555249894037E-3</v>
      </c>
      <c r="N389">
        <f t="shared" si="31"/>
        <v>3.6600000000000001E-2</v>
      </c>
      <c r="P389">
        <f t="shared" si="32"/>
        <v>2.5000000000000009E-3</v>
      </c>
      <c r="Q389">
        <f t="shared" si="33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4"/>
        <v>3.4115306500004265E-2</v>
      </c>
      <c r="N390">
        <f t="shared" si="31"/>
        <v>8.5000000000000006E-2</v>
      </c>
      <c r="P390">
        <f t="shared" si="32"/>
        <v>3.61E-2</v>
      </c>
      <c r="Q390">
        <f t="shared" si="33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4"/>
        <v>9.8551034000153616E-3</v>
      </c>
      <c r="N391">
        <f t="shared" si="31"/>
        <v>-1.8E-3</v>
      </c>
      <c r="P391">
        <f t="shared" si="32"/>
        <v>1.7000000000000001E-2</v>
      </c>
      <c r="Q391">
        <f t="shared" si="33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4"/>
        <v>-2.837589250047649E-4</v>
      </c>
      <c r="N392">
        <f t="shared" si="31"/>
        <v>5.5399999999999998E-2</v>
      </c>
      <c r="P392">
        <f t="shared" si="32"/>
        <v>-2.5000000000000001E-3</v>
      </c>
      <c r="Q392">
        <f t="shared" si="33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4"/>
        <v>3.0707653250002135E-2</v>
      </c>
      <c r="N393">
        <f t="shared" si="31"/>
        <v>-5.7000000000000002E-3</v>
      </c>
      <c r="P393">
        <f t="shared" si="32"/>
        <v>3.1699999999999999E-2</v>
      </c>
      <c r="Q393">
        <f t="shared" si="33"/>
        <v>-3.0000000000000001E-3</v>
      </c>
    </row>
    <row r="394" spans="1:17">
      <c r="A394">
        <v>195908</v>
      </c>
      <c r="B394">
        <v>-1.1999999999999999E-2</v>
      </c>
      <c r="C394">
        <v>-7.7000000000000002E-3</v>
      </c>
      <c r="D394">
        <v>-2.3900000000000001E-2</v>
      </c>
      <c r="K394">
        <f t="shared" si="30"/>
        <v>-1.4547023324994522E-2</v>
      </c>
      <c r="L394">
        <f t="shared" si="34"/>
        <v>-1.7047023324994522E-2</v>
      </c>
      <c r="N394">
        <f t="shared" si="31"/>
        <v>-2.64E-2</v>
      </c>
      <c r="P394">
        <f t="shared" si="32"/>
        <v>-1.4499999999999999E-2</v>
      </c>
      <c r="Q394">
        <f t="shared" si="33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4"/>
        <v>-4.7697704024999364E-2</v>
      </c>
      <c r="N395">
        <f t="shared" si="31"/>
        <v>-5.4300000000000001E-2</v>
      </c>
      <c r="P395">
        <f t="shared" si="32"/>
        <v>-4.7400000000000005E-2</v>
      </c>
      <c r="Q395">
        <f t="shared" si="33"/>
        <v>-8.9999999999999998E-4</v>
      </c>
    </row>
    <row r="396" spans="1:17">
      <c r="A396">
        <v>195910</v>
      </c>
      <c r="B396">
        <v>1.5800000000000002E-2</v>
      </c>
      <c r="C396">
        <v>1.4499999999999999E-2</v>
      </c>
      <c r="D396">
        <v>8.7200000000000014E-2</v>
      </c>
      <c r="K396">
        <f t="shared" si="30"/>
        <v>2.0596342624989689E-2</v>
      </c>
      <c r="L396">
        <f t="shared" si="34"/>
        <v>1.809634262498969E-2</v>
      </c>
      <c r="N396">
        <f t="shared" si="31"/>
        <v>8.4700000000000011E-2</v>
      </c>
      <c r="P396">
        <f t="shared" si="32"/>
        <v>1.3300000000000001E-2</v>
      </c>
      <c r="Q396">
        <f t="shared" si="33"/>
        <v>1.4499999999999999E-2</v>
      </c>
    </row>
    <row r="397" spans="1:17">
      <c r="A397">
        <v>195911</v>
      </c>
      <c r="B397">
        <v>1.8600000000000002E-2</v>
      </c>
      <c r="C397">
        <v>1.24E-2</v>
      </c>
      <c r="D397">
        <v>6.3200000000000006E-2</v>
      </c>
      <c r="K397">
        <f t="shared" si="30"/>
        <v>2.2701699899991185E-2</v>
      </c>
      <c r="L397">
        <f t="shared" si="34"/>
        <v>2.0201699899991186E-2</v>
      </c>
      <c r="N397">
        <f t="shared" si="31"/>
        <v>6.0700000000000004E-2</v>
      </c>
      <c r="P397">
        <f t="shared" si="32"/>
        <v>1.6100000000000003E-2</v>
      </c>
      <c r="Q397">
        <f t="shared" si="33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4"/>
        <v>2.3481462950004129E-2</v>
      </c>
      <c r="N398">
        <f t="shared" si="31"/>
        <v>8.3000000000000001E-3</v>
      </c>
      <c r="P398">
        <f t="shared" si="32"/>
        <v>2.5400000000000002E-2</v>
      </c>
      <c r="Q398">
        <f t="shared" si="33"/>
        <v>-5.7999999999999996E-3</v>
      </c>
    </row>
    <row r="399" spans="1:17">
      <c r="A399">
        <v>196001</v>
      </c>
      <c r="B399">
        <v>-6.6500000000000004E-2</v>
      </c>
      <c r="C399">
        <v>2.0800000000000003E-2</v>
      </c>
      <c r="D399">
        <v>-7.8600000000000003E-2</v>
      </c>
      <c r="K399">
        <f t="shared" si="30"/>
        <v>-5.9619729200014793E-2</v>
      </c>
      <c r="L399">
        <f t="shared" si="34"/>
        <v>-6.2119729200014795E-2</v>
      </c>
      <c r="N399">
        <f t="shared" si="31"/>
        <v>-8.1100000000000005E-2</v>
      </c>
      <c r="P399">
        <f t="shared" si="32"/>
        <v>-6.9000000000000006E-2</v>
      </c>
      <c r="Q399">
        <f t="shared" si="33"/>
        <v>2.0800000000000003E-2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4"/>
        <v>1.3786989474996373E-2</v>
      </c>
      <c r="N400">
        <f t="shared" si="31"/>
        <v>6.2399999999999997E-2</v>
      </c>
      <c r="P400">
        <f t="shared" si="32"/>
        <v>1.21E-2</v>
      </c>
      <c r="Q400">
        <f t="shared" si="33"/>
        <v>5.1000000000000004E-3</v>
      </c>
    </row>
    <row r="401" spans="1:17">
      <c r="A401">
        <v>196003</v>
      </c>
      <c r="B401">
        <v>-1.2799999999999999E-2</v>
      </c>
      <c r="C401">
        <v>-4.7999999999999996E-3</v>
      </c>
      <c r="D401">
        <v>-1.3100000000000001E-2</v>
      </c>
      <c r="K401">
        <f t="shared" si="30"/>
        <v>-1.4387754799996585E-2</v>
      </c>
      <c r="L401">
        <f t="shared" si="34"/>
        <v>-1.6887754799996584E-2</v>
      </c>
      <c r="N401">
        <f t="shared" si="31"/>
        <v>-1.5600000000000001E-2</v>
      </c>
      <c r="P401">
        <f t="shared" si="32"/>
        <v>-1.5299999999999999E-2</v>
      </c>
      <c r="Q401">
        <f t="shared" si="33"/>
        <v>-4.7999999999999996E-3</v>
      </c>
    </row>
    <row r="402" spans="1:17">
      <c r="A402">
        <v>196004</v>
      </c>
      <c r="B402">
        <v>-1.52E-2</v>
      </c>
      <c r="C402">
        <v>3.3000000000000004E-3</v>
      </c>
      <c r="D402">
        <v>1.3500000000000002E-2</v>
      </c>
      <c r="K402">
        <f t="shared" si="30"/>
        <v>-1.4108418575002347E-2</v>
      </c>
      <c r="L402">
        <f t="shared" si="34"/>
        <v>-1.6608418575002348E-2</v>
      </c>
      <c r="N402">
        <f t="shared" si="31"/>
        <v>1.1000000000000001E-2</v>
      </c>
      <c r="P402">
        <f t="shared" si="32"/>
        <v>-1.77E-2</v>
      </c>
      <c r="Q402">
        <f t="shared" si="33"/>
        <v>3.3000000000000004E-3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4"/>
        <v>3.5435543449991322E-2</v>
      </c>
      <c r="N403">
        <f t="shared" si="31"/>
        <v>8.5299999999999987E-2</v>
      </c>
      <c r="P403">
        <f t="shared" si="32"/>
        <v>3.1399999999999997E-2</v>
      </c>
      <c r="Q403">
        <f t="shared" si="33"/>
        <v>1.2200000000000001E-2</v>
      </c>
    </row>
    <row r="404" spans="1:17">
      <c r="A404">
        <v>196006</v>
      </c>
      <c r="B404">
        <v>2.3200000000000002E-2</v>
      </c>
      <c r="C404">
        <v>-1.9E-3</v>
      </c>
      <c r="D404">
        <v>3.1099999999999999E-2</v>
      </c>
      <c r="K404">
        <f t="shared" si="30"/>
        <v>2.2571513725001352E-2</v>
      </c>
      <c r="L404">
        <f t="shared" si="34"/>
        <v>2.0071513725001353E-2</v>
      </c>
      <c r="N404">
        <f t="shared" si="31"/>
        <v>2.86E-2</v>
      </c>
      <c r="P404">
        <f t="shared" si="32"/>
        <v>2.0700000000000003E-2</v>
      </c>
      <c r="Q404">
        <f t="shared" si="33"/>
        <v>-1.9E-3</v>
      </c>
    </row>
    <row r="405" spans="1:17">
      <c r="A405">
        <v>196007</v>
      </c>
      <c r="B405">
        <v>-2.2400000000000003E-2</v>
      </c>
      <c r="C405">
        <v>-4.7000000000000002E-3</v>
      </c>
      <c r="D405">
        <v>-3.5200000000000002E-2</v>
      </c>
      <c r="K405">
        <f t="shared" si="30"/>
        <v>-2.3954676574996659E-2</v>
      </c>
      <c r="L405">
        <f t="shared" si="34"/>
        <v>-2.6454676574996658E-2</v>
      </c>
      <c r="N405">
        <f t="shared" si="31"/>
        <v>-3.7700000000000004E-2</v>
      </c>
      <c r="P405">
        <f t="shared" si="32"/>
        <v>-2.4900000000000002E-2</v>
      </c>
      <c r="Q405">
        <f t="shared" si="33"/>
        <v>-4.7000000000000002E-3</v>
      </c>
    </row>
    <row r="406" spans="1:17">
      <c r="A406">
        <v>196008</v>
      </c>
      <c r="B406">
        <v>3.1799999999999995E-2</v>
      </c>
      <c r="C406">
        <v>8.5000000000000006E-3</v>
      </c>
      <c r="D406">
        <v>2.9900000000000003E-2</v>
      </c>
      <c r="K406">
        <f t="shared" si="30"/>
        <v>3.4611649124993947E-2</v>
      </c>
      <c r="L406">
        <f t="shared" si="34"/>
        <v>3.2111649124993945E-2</v>
      </c>
      <c r="N406">
        <f t="shared" si="31"/>
        <v>2.7400000000000004E-2</v>
      </c>
      <c r="P406">
        <f t="shared" si="32"/>
        <v>2.9299999999999996E-2</v>
      </c>
      <c r="Q406">
        <f t="shared" si="33"/>
        <v>8.5000000000000006E-3</v>
      </c>
    </row>
    <row r="407" spans="1:17">
      <c r="A407">
        <v>196009</v>
      </c>
      <c r="B407">
        <v>-5.8300000000000005E-2</v>
      </c>
      <c r="C407">
        <v>-1.0900000000000002E-2</v>
      </c>
      <c r="D407">
        <v>-7.7800000000000008E-2</v>
      </c>
      <c r="K407">
        <f t="shared" si="30"/>
        <v>-6.1905526524992253E-2</v>
      </c>
      <c r="L407">
        <f t="shared" si="34"/>
        <v>-6.4405526524992249E-2</v>
      </c>
      <c r="N407">
        <f t="shared" si="31"/>
        <v>-8.030000000000001E-2</v>
      </c>
      <c r="P407">
        <f t="shared" si="32"/>
        <v>-6.0800000000000007E-2</v>
      </c>
      <c r="Q407">
        <f t="shared" si="33"/>
        <v>-1.0900000000000002E-2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4"/>
        <v>-2.0862837574971056E-2</v>
      </c>
      <c r="N408">
        <f t="shared" si="31"/>
        <v>-1.41E-2</v>
      </c>
      <c r="P408">
        <f t="shared" si="32"/>
        <v>-7.4000000000000003E-3</v>
      </c>
      <c r="Q408">
        <f t="shared" si="33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4"/>
        <v>4.692389432499737E-2</v>
      </c>
      <c r="N409">
        <f t="shared" si="31"/>
        <v>9.1199999999999989E-2</v>
      </c>
      <c r="P409">
        <f t="shared" si="32"/>
        <v>4.5700000000000005E-2</v>
      </c>
      <c r="Q409">
        <f t="shared" si="33"/>
        <v>3.7000000000000002E-3</v>
      </c>
    </row>
    <row r="410" spans="1:17">
      <c r="A410">
        <v>196012</v>
      </c>
      <c r="B410">
        <v>4.87E-2</v>
      </c>
      <c r="C410">
        <v>-1.5300000000000001E-2</v>
      </c>
      <c r="D410">
        <v>0.08</v>
      </c>
      <c r="K410">
        <f t="shared" si="30"/>
        <v>4.3639031575010881E-2</v>
      </c>
      <c r="L410">
        <f t="shared" si="34"/>
        <v>4.1139031575010879E-2</v>
      </c>
      <c r="N410">
        <f t="shared" si="31"/>
        <v>7.7499999999999999E-2</v>
      </c>
      <c r="P410">
        <f t="shared" si="32"/>
        <v>4.6199999999999998E-2</v>
      </c>
      <c r="Q410">
        <f t="shared" si="33"/>
        <v>-1.5300000000000001E-2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4.5599999999999995E-2</v>
      </c>
      <c r="K411">
        <f t="shared" si="30"/>
        <v>6.6281632199994889E-2</v>
      </c>
      <c r="L411">
        <f t="shared" si="34"/>
        <v>6.3781632199994887E-2</v>
      </c>
      <c r="N411">
        <f t="shared" si="31"/>
        <v>4.3099999999999992E-2</v>
      </c>
      <c r="P411">
        <f t="shared" si="32"/>
        <v>6.140000000000001E-2</v>
      </c>
      <c r="Q411">
        <f t="shared" si="33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4.9100000000000005E-2</v>
      </c>
      <c r="K412">
        <f t="shared" si="30"/>
        <v>5.0132820649971981E-2</v>
      </c>
      <c r="L412">
        <f t="shared" si="34"/>
        <v>4.7632820649971978E-2</v>
      </c>
      <c r="N412">
        <f t="shared" si="31"/>
        <v>4.6600000000000003E-2</v>
      </c>
      <c r="P412">
        <f t="shared" si="32"/>
        <v>3.4599999999999999E-2</v>
      </c>
      <c r="Q412">
        <f t="shared" si="33"/>
        <v>3.9399999999999998E-2</v>
      </c>
    </row>
    <row r="413" spans="1:17">
      <c r="A413">
        <v>196103</v>
      </c>
      <c r="B413">
        <v>3.0900000000000004E-2</v>
      </c>
      <c r="C413">
        <v>3.3300000000000003E-2</v>
      </c>
      <c r="D413">
        <v>4.5100000000000001E-2</v>
      </c>
      <c r="K413">
        <f t="shared" si="30"/>
        <v>4.1915048924976321E-2</v>
      </c>
      <c r="L413">
        <f t="shared" si="34"/>
        <v>3.9415048924976319E-2</v>
      </c>
      <c r="N413">
        <f t="shared" si="31"/>
        <v>4.2599999999999999E-2</v>
      </c>
      <c r="P413">
        <f t="shared" si="32"/>
        <v>2.8400000000000005E-2</v>
      </c>
      <c r="Q413">
        <f t="shared" si="33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4"/>
        <v>2.3315475749995022E-3</v>
      </c>
      <c r="N414">
        <f t="shared" si="31"/>
        <v>3.1999999999999993E-3</v>
      </c>
      <c r="P414">
        <f t="shared" si="32"/>
        <v>2.0999999999999999E-3</v>
      </c>
      <c r="Q414">
        <f t="shared" si="33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1.3600000000000001E-2</v>
      </c>
      <c r="K415">
        <f t="shared" si="30"/>
        <v>3.2382566774985848E-2</v>
      </c>
      <c r="L415">
        <f t="shared" si="34"/>
        <v>2.9882566774985849E-2</v>
      </c>
      <c r="N415">
        <f t="shared" si="31"/>
        <v>1.11E-2</v>
      </c>
      <c r="P415">
        <f t="shared" si="32"/>
        <v>2.3300000000000001E-2</v>
      </c>
      <c r="Q415">
        <f t="shared" si="33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4"/>
        <v>-3.9503399799982367E-2</v>
      </c>
      <c r="N416">
        <f t="shared" si="31"/>
        <v>-2.3399999999999997E-2</v>
      </c>
      <c r="P416">
        <f t="shared" si="32"/>
        <v>-3.1300000000000001E-2</v>
      </c>
      <c r="Q416">
        <f t="shared" si="33"/>
        <v>-2.4799999999999999E-2</v>
      </c>
    </row>
    <row r="417" spans="1:17">
      <c r="A417">
        <v>196107</v>
      </c>
      <c r="B417">
        <v>3.0100000000000002E-2</v>
      </c>
      <c r="C417">
        <v>-1.84E-2</v>
      </c>
      <c r="D417">
        <v>1.8500000000000003E-2</v>
      </c>
      <c r="K417">
        <f t="shared" si="30"/>
        <v>2.4013606600013088E-2</v>
      </c>
      <c r="L417">
        <f t="shared" si="34"/>
        <v>2.1513606600013089E-2</v>
      </c>
      <c r="N417">
        <f t="shared" si="31"/>
        <v>1.6000000000000004E-2</v>
      </c>
      <c r="P417">
        <f t="shared" si="32"/>
        <v>2.7600000000000003E-2</v>
      </c>
      <c r="Q417">
        <f t="shared" si="33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4"/>
        <v>1.8745154175012588E-2</v>
      </c>
      <c r="N418">
        <f t="shared" si="31"/>
        <v>6.3E-2</v>
      </c>
      <c r="P418">
        <f t="shared" si="32"/>
        <v>2.46E-2</v>
      </c>
      <c r="Q418">
        <f t="shared" si="33"/>
        <v>-1.77E-2</v>
      </c>
    </row>
    <row r="419" spans="1:17">
      <c r="A419">
        <v>196109</v>
      </c>
      <c r="B419">
        <v>-1.9799999999999998E-2</v>
      </c>
      <c r="C419">
        <v>-1.0500000000000001E-2</v>
      </c>
      <c r="D419">
        <v>-2.4799999999999999E-2</v>
      </c>
      <c r="K419">
        <f t="shared" si="30"/>
        <v>-2.3273213624992531E-2</v>
      </c>
      <c r="L419">
        <f t="shared" si="34"/>
        <v>-2.577321362499253E-2</v>
      </c>
      <c r="N419">
        <f t="shared" si="31"/>
        <v>-2.7299999999999998E-2</v>
      </c>
      <c r="P419">
        <f t="shared" si="32"/>
        <v>-2.2299999999999997E-2</v>
      </c>
      <c r="Q419">
        <f t="shared" si="33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4"/>
        <v>2.0005953350010954E-2</v>
      </c>
      <c r="N420">
        <f t="shared" si="31"/>
        <v>3.39E-2</v>
      </c>
      <c r="P420">
        <f t="shared" si="32"/>
        <v>2.5100000000000001E-2</v>
      </c>
      <c r="Q420">
        <f t="shared" si="33"/>
        <v>-1.54E-2</v>
      </c>
    </row>
    <row r="421" spans="1:17">
      <c r="A421">
        <v>196111</v>
      </c>
      <c r="B421">
        <v>4.6000000000000006E-2</v>
      </c>
      <c r="C421">
        <v>1.2200000000000001E-2</v>
      </c>
      <c r="D421">
        <v>8.1099999999999992E-2</v>
      </c>
      <c r="K421">
        <f t="shared" si="30"/>
        <v>5.0035543449991331E-2</v>
      </c>
      <c r="L421">
        <f t="shared" si="34"/>
        <v>4.7535543449991328E-2</v>
      </c>
      <c r="N421">
        <f t="shared" si="31"/>
        <v>7.8599999999999989E-2</v>
      </c>
      <c r="P421">
        <f t="shared" si="32"/>
        <v>4.3500000000000004E-2</v>
      </c>
      <c r="Q421">
        <f t="shared" si="33"/>
        <v>1.2200000000000001E-2</v>
      </c>
    </row>
    <row r="422" spans="1:17">
      <c r="A422">
        <v>196112</v>
      </c>
      <c r="B422">
        <v>1.0000000000000005E-4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4"/>
        <v>-5.3770402499936001E-3</v>
      </c>
      <c r="N422">
        <f t="shared" si="31"/>
        <v>-4.5999999999999999E-2</v>
      </c>
      <c r="P422">
        <f t="shared" si="32"/>
        <v>-2.4000000000000002E-3</v>
      </c>
      <c r="Q422">
        <f t="shared" si="33"/>
        <v>-9.0000000000000011E-3</v>
      </c>
    </row>
    <row r="423" spans="1:17">
      <c r="A423">
        <v>196201</v>
      </c>
      <c r="B423">
        <v>-3.6300000000000006E-2</v>
      </c>
      <c r="C423">
        <v>1.8200000000000001E-2</v>
      </c>
      <c r="D423">
        <v>-6.3E-2</v>
      </c>
      <c r="K423">
        <f t="shared" si="30"/>
        <v>-3.027976305001295E-2</v>
      </c>
      <c r="L423">
        <f t="shared" si="34"/>
        <v>-3.2779763050012949E-2</v>
      </c>
      <c r="N423">
        <f t="shared" si="31"/>
        <v>-6.5500000000000003E-2</v>
      </c>
      <c r="P423">
        <f t="shared" si="32"/>
        <v>-3.8800000000000008E-2</v>
      </c>
      <c r="Q423">
        <f t="shared" si="33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4"/>
        <v>1.3630613000008533E-2</v>
      </c>
      <c r="N424">
        <f t="shared" si="31"/>
        <v>1.5900000000000001E-2</v>
      </c>
      <c r="P424">
        <f t="shared" si="32"/>
        <v>1.7600000000000001E-2</v>
      </c>
      <c r="Q424">
        <f t="shared" si="33"/>
        <v>-1.2E-2</v>
      </c>
    </row>
    <row r="425" spans="1:17">
      <c r="A425">
        <v>196203</v>
      </c>
      <c r="B425">
        <v>-4.8000000000000004E-3</v>
      </c>
      <c r="C425">
        <v>4.7999999999999996E-3</v>
      </c>
      <c r="D425">
        <v>-2.2700000000000001E-2</v>
      </c>
      <c r="K425">
        <f t="shared" si="30"/>
        <v>-3.2122452000034143E-3</v>
      </c>
      <c r="L425">
        <f t="shared" si="34"/>
        <v>-5.7122452000034143E-3</v>
      </c>
      <c r="N425">
        <f t="shared" si="31"/>
        <v>-2.52E-2</v>
      </c>
      <c r="P425">
        <f t="shared" si="32"/>
        <v>-7.3000000000000009E-3</v>
      </c>
      <c r="Q425">
        <f t="shared" si="33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4"/>
        <v>-6.8482397524995103E-2</v>
      </c>
      <c r="N426">
        <f t="shared" si="31"/>
        <v>-4.5499999999999999E-2</v>
      </c>
      <c r="P426">
        <f t="shared" si="32"/>
        <v>-6.6200000000000009E-2</v>
      </c>
      <c r="Q426">
        <f t="shared" si="33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-0.10869999999999999</v>
      </c>
      <c r="K427">
        <f t="shared" si="30"/>
        <v>-9.518120537497618E-2</v>
      </c>
      <c r="L427">
        <f t="shared" si="34"/>
        <v>-9.7681205374976182E-2</v>
      </c>
      <c r="N427">
        <f t="shared" si="31"/>
        <v>-0.11119999999999999</v>
      </c>
      <c r="P427">
        <f t="shared" si="32"/>
        <v>-8.660000000000001E-2</v>
      </c>
      <c r="Q427">
        <f t="shared" si="33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4"/>
        <v>-8.7283928174995529E-2</v>
      </c>
      <c r="N428">
        <f t="shared" si="31"/>
        <v>-5.8900000000000001E-2</v>
      </c>
      <c r="P428">
        <f t="shared" si="32"/>
        <v>-8.5200000000000012E-2</v>
      </c>
      <c r="Q428">
        <f t="shared" si="33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6.2400000000000004E-2</v>
      </c>
      <c r="K429">
        <f t="shared" si="30"/>
        <v>7.0891750674988416E-2</v>
      </c>
      <c r="L429">
        <f t="shared" si="34"/>
        <v>6.8391750674988414E-2</v>
      </c>
      <c r="N429">
        <f t="shared" si="31"/>
        <v>5.9900000000000002E-2</v>
      </c>
      <c r="P429">
        <f t="shared" si="32"/>
        <v>6.3E-2</v>
      </c>
      <c r="Q429">
        <f t="shared" si="33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2.6000000000000002E-2</v>
      </c>
      <c r="K430">
        <f t="shared" si="30"/>
        <v>2.7734778124991109E-2</v>
      </c>
      <c r="L430">
        <f t="shared" si="34"/>
        <v>2.5234778124991111E-2</v>
      </c>
      <c r="N430">
        <f t="shared" si="31"/>
        <v>2.3500000000000004E-2</v>
      </c>
      <c r="P430">
        <f t="shared" si="32"/>
        <v>2.1100000000000001E-2</v>
      </c>
      <c r="Q430">
        <f t="shared" si="33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4"/>
        <v>-6.0803399799982366E-2</v>
      </c>
      <c r="N431">
        <f t="shared" si="31"/>
        <v>-2.24E-2</v>
      </c>
      <c r="P431">
        <f t="shared" si="32"/>
        <v>-5.2600000000000001E-2</v>
      </c>
      <c r="Q431">
        <f t="shared" si="33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4"/>
        <v>-1.376436822497148E-2</v>
      </c>
      <c r="N432">
        <f t="shared" si="31"/>
        <v>-5.0000000000000001E-3</v>
      </c>
      <c r="P432">
        <f t="shared" si="32"/>
        <v>-5.0000000000000001E-4</v>
      </c>
      <c r="Q432">
        <f t="shared" si="33"/>
        <v>-4.0099999999999997E-2</v>
      </c>
    </row>
    <row r="433" spans="1:17">
      <c r="A433">
        <v>196211</v>
      </c>
      <c r="B433">
        <v>0.11069999999999999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4"/>
        <v>0.11676726027498158</v>
      </c>
      <c r="N433">
        <f t="shared" si="31"/>
        <v>0.08</v>
      </c>
      <c r="P433">
        <f t="shared" si="32"/>
        <v>0.10819999999999999</v>
      </c>
      <c r="Q433">
        <f t="shared" si="33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4.6200000000000005E-2</v>
      </c>
      <c r="K434">
        <f t="shared" si="30"/>
        <v>-1.6972549997297352E-4</v>
      </c>
      <c r="L434">
        <f t="shared" si="34"/>
        <v>-2.6697254999729736E-3</v>
      </c>
      <c r="N434">
        <f t="shared" si="31"/>
        <v>4.3700000000000003E-2</v>
      </c>
      <c r="P434">
        <f t="shared" si="32"/>
        <v>9.8999999999999991E-3</v>
      </c>
      <c r="Q434">
        <f t="shared" si="33"/>
        <v>-3.7999999999999999E-2</v>
      </c>
    </row>
    <row r="435" spans="1:17">
      <c r="A435">
        <v>196301</v>
      </c>
      <c r="B435">
        <v>5.1799999999999999E-2</v>
      </c>
      <c r="C435">
        <v>3.1200000000000002E-2</v>
      </c>
      <c r="D435">
        <v>3.1099999999999999E-2</v>
      </c>
      <c r="K435">
        <f t="shared" si="30"/>
        <v>6.2120406199977808E-2</v>
      </c>
      <c r="L435">
        <f t="shared" si="34"/>
        <v>5.9620406199977806E-2</v>
      </c>
      <c r="N435">
        <f t="shared" si="31"/>
        <v>2.86E-2</v>
      </c>
      <c r="P435">
        <f t="shared" si="32"/>
        <v>4.9299999999999997E-2</v>
      </c>
      <c r="Q435">
        <f t="shared" si="33"/>
        <v>3.1200000000000002E-2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4"/>
        <v>-2.2478401650003269E-2</v>
      </c>
      <c r="N436">
        <f t="shared" si="31"/>
        <v>-1.83E-2</v>
      </c>
      <c r="P436">
        <f t="shared" si="32"/>
        <v>-2.3999999999999997E-2</v>
      </c>
      <c r="Q436">
        <f t="shared" si="33"/>
        <v>4.5999999999999999E-3</v>
      </c>
    </row>
    <row r="437" spans="1:17">
      <c r="A437">
        <v>196303</v>
      </c>
      <c r="B437">
        <v>3.3100000000000004E-2</v>
      </c>
      <c r="C437">
        <v>-2.4799999999999999E-2</v>
      </c>
      <c r="D437">
        <v>5.3899999999999997E-2</v>
      </c>
      <c r="K437">
        <f t="shared" si="30"/>
        <v>2.4896600200017643E-2</v>
      </c>
      <c r="L437">
        <f t="shared" si="34"/>
        <v>2.2396600200017644E-2</v>
      </c>
      <c r="N437">
        <f t="shared" si="31"/>
        <v>5.1399999999999994E-2</v>
      </c>
      <c r="P437">
        <f t="shared" si="32"/>
        <v>3.0600000000000006E-2</v>
      </c>
      <c r="Q437">
        <f t="shared" si="33"/>
        <v>-2.4799999999999999E-2</v>
      </c>
    </row>
    <row r="438" spans="1:17">
      <c r="A438">
        <v>196304</v>
      </c>
      <c r="B438">
        <v>4.7600000000000003E-2</v>
      </c>
      <c r="C438">
        <v>-1.3500000000000002E-2</v>
      </c>
      <c r="D438">
        <v>5.0499999999999996E-2</v>
      </c>
      <c r="K438">
        <f t="shared" si="30"/>
        <v>4.3134439625009603E-2</v>
      </c>
      <c r="L438">
        <f t="shared" si="34"/>
        <v>4.0634439625009601E-2</v>
      </c>
      <c r="N438">
        <f t="shared" si="31"/>
        <v>4.7999999999999994E-2</v>
      </c>
      <c r="P438">
        <f t="shared" si="32"/>
        <v>4.5100000000000001E-2</v>
      </c>
      <c r="Q438">
        <f t="shared" si="33"/>
        <v>-1.3500000000000002E-2</v>
      </c>
    </row>
    <row r="439" spans="1:17">
      <c r="A439">
        <v>196305</v>
      </c>
      <c r="B439">
        <v>0.02</v>
      </c>
      <c r="C439">
        <v>1.0700000000000001E-2</v>
      </c>
      <c r="D439">
        <v>3.1300000000000001E-2</v>
      </c>
      <c r="K439">
        <f t="shared" si="30"/>
        <v>2.3539370074992391E-2</v>
      </c>
      <c r="L439">
        <f t="shared" si="34"/>
        <v>2.1039370074992392E-2</v>
      </c>
      <c r="N439">
        <f t="shared" si="31"/>
        <v>2.8800000000000003E-2</v>
      </c>
      <c r="P439">
        <f t="shared" si="32"/>
        <v>1.7500000000000002E-2</v>
      </c>
      <c r="Q439">
        <f t="shared" si="33"/>
        <v>1.0700000000000001E-2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4"/>
        <v>-2.1159268524997936E-2</v>
      </c>
      <c r="N440">
        <f t="shared" si="31"/>
        <v>-2.3699999999999999E-2</v>
      </c>
      <c r="P440">
        <f t="shared" si="32"/>
        <v>-2.0199999999999999E-2</v>
      </c>
      <c r="Q440">
        <f t="shared" si="33"/>
        <v>-2.8999999999999998E-3</v>
      </c>
    </row>
    <row r="441" spans="1:17">
      <c r="A441">
        <v>196307</v>
      </c>
      <c r="B441">
        <v>-1.2000000000000001E-3</v>
      </c>
      <c r="C441">
        <v>-5.3E-3</v>
      </c>
      <c r="D441">
        <v>4.3E-3</v>
      </c>
      <c r="K441">
        <f t="shared" si="30"/>
        <v>-2.9531459249962306E-3</v>
      </c>
      <c r="L441">
        <f t="shared" si="34"/>
        <v>-5.4531459249962302E-3</v>
      </c>
      <c r="N441">
        <f t="shared" si="31"/>
        <v>1.8E-3</v>
      </c>
      <c r="P441">
        <f t="shared" si="32"/>
        <v>-3.7000000000000002E-3</v>
      </c>
      <c r="Q441">
        <f t="shared" si="33"/>
        <v>-5.3E-3</v>
      </c>
    </row>
    <row r="442" spans="1:17">
      <c r="A442">
        <v>196308</v>
      </c>
      <c r="B442">
        <v>5.3200000000000004E-2</v>
      </c>
      <c r="C442">
        <v>-8.8999999999999999E-3</v>
      </c>
      <c r="D442">
        <v>9.2300000000000007E-2</v>
      </c>
      <c r="K442">
        <f t="shared" si="30"/>
        <v>5.0256037975006336E-2</v>
      </c>
      <c r="L442">
        <f t="shared" si="34"/>
        <v>4.7756037975006334E-2</v>
      </c>
      <c r="N442">
        <f t="shared" si="31"/>
        <v>8.9800000000000005E-2</v>
      </c>
      <c r="P442">
        <f t="shared" si="32"/>
        <v>5.0700000000000002E-2</v>
      </c>
      <c r="Q442">
        <f t="shared" si="33"/>
        <v>-8.8999999999999999E-3</v>
      </c>
    </row>
    <row r="443" spans="1:17">
      <c r="A443">
        <v>196309</v>
      </c>
      <c r="B443">
        <v>-1.3000000000000001E-2</v>
      </c>
      <c r="C443">
        <v>-3.4999999999999996E-3</v>
      </c>
      <c r="D443">
        <v>-1.9800000000000002E-2</v>
      </c>
      <c r="K443">
        <f t="shared" si="30"/>
        <v>-1.4157737874997512E-2</v>
      </c>
      <c r="L443">
        <f t="shared" si="34"/>
        <v>-1.6657737874997511E-2</v>
      </c>
      <c r="N443">
        <f t="shared" si="31"/>
        <v>-2.23E-2</v>
      </c>
      <c r="P443">
        <f t="shared" si="32"/>
        <v>-1.5500000000000002E-2</v>
      </c>
      <c r="Q443">
        <f t="shared" si="33"/>
        <v>-3.4999999999999996E-3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4"/>
        <v>2.3847619400003982E-2</v>
      </c>
      <c r="N444">
        <f t="shared" si="31"/>
        <v>5.0300000000000004E-2</v>
      </c>
      <c r="P444">
        <f t="shared" si="32"/>
        <v>2.5700000000000001E-2</v>
      </c>
      <c r="Q444">
        <f t="shared" si="33"/>
        <v>-5.6000000000000008E-3</v>
      </c>
    </row>
    <row r="445" spans="1:17">
      <c r="A445">
        <v>196311</v>
      </c>
      <c r="B445">
        <v>-5.8000000000000005E-3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4"/>
        <v>-1.2170152324991679E-2</v>
      </c>
      <c r="N445">
        <f t="shared" si="31"/>
        <v>-3.3E-3</v>
      </c>
      <c r="P445">
        <f t="shared" si="32"/>
        <v>-8.3000000000000001E-3</v>
      </c>
      <c r="Q445">
        <f t="shared" si="33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4"/>
        <v>1.1720494525015007E-2</v>
      </c>
      <c r="N446">
        <f t="shared" si="31"/>
        <v>4.8000000000000004E-3</v>
      </c>
      <c r="P446">
        <f t="shared" si="32"/>
        <v>1.8700000000000001E-2</v>
      </c>
      <c r="Q446">
        <f t="shared" si="33"/>
        <v>-2.1100000000000001E-2</v>
      </c>
    </row>
    <row r="447" spans="1:17">
      <c r="A447">
        <v>196401</v>
      </c>
      <c r="B447">
        <v>2.5400000000000002E-2</v>
      </c>
      <c r="C447">
        <v>-1.4000000000000002E-3</v>
      </c>
      <c r="D447">
        <v>1.95E-2</v>
      </c>
      <c r="K447">
        <f t="shared" si="30"/>
        <v>2.4936904850000999E-2</v>
      </c>
      <c r="L447">
        <f t="shared" si="34"/>
        <v>2.2436904850001001E-2</v>
      </c>
      <c r="N447">
        <f t="shared" si="31"/>
        <v>1.7000000000000001E-2</v>
      </c>
      <c r="P447">
        <f t="shared" si="32"/>
        <v>2.2900000000000004E-2</v>
      </c>
      <c r="Q447">
        <f t="shared" si="33"/>
        <v>-1.4000000000000002E-3</v>
      </c>
    </row>
    <row r="448" spans="1:17">
      <c r="A448">
        <v>196402</v>
      </c>
      <c r="B448">
        <v>1.8000000000000002E-2</v>
      </c>
      <c r="C448">
        <v>1.3000000000000002E-3</v>
      </c>
      <c r="D448">
        <v>3.5400000000000001E-2</v>
      </c>
      <c r="K448">
        <f t="shared" si="30"/>
        <v>1.8430016924999078E-2</v>
      </c>
      <c r="L448">
        <f t="shared" si="34"/>
        <v>1.5930016924999079E-2</v>
      </c>
      <c r="N448">
        <f t="shared" si="31"/>
        <v>3.2899999999999999E-2</v>
      </c>
      <c r="P448">
        <f t="shared" si="32"/>
        <v>1.5500000000000002E-2</v>
      </c>
      <c r="Q448">
        <f t="shared" si="33"/>
        <v>1.3000000000000002E-3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4"/>
        <v>1.797474427499296E-2</v>
      </c>
      <c r="N449">
        <f t="shared" si="31"/>
        <v>3.3299999999999996E-2</v>
      </c>
      <c r="P449">
        <f t="shared" si="32"/>
        <v>1.47E-2</v>
      </c>
      <c r="Q449">
        <f t="shared" si="33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4"/>
        <v>-3.3632643999897591E-3</v>
      </c>
      <c r="N450">
        <f t="shared" si="31"/>
        <v>-7.6000000000000009E-3</v>
      </c>
      <c r="P450">
        <f t="shared" si="32"/>
        <v>1.3999999999999998E-3</v>
      </c>
      <c r="Q450">
        <f t="shared" si="33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3.9700000000000006E-2</v>
      </c>
      <c r="K451">
        <f t="shared" ref="K451:K514" si="35">SUMPRODUCT($G$12:$H$12,B451:C451)</f>
        <v>1.3955272650006116E-2</v>
      </c>
      <c r="L451">
        <f t="shared" si="34"/>
        <v>1.1455272650006116E-2</v>
      </c>
      <c r="N451">
        <f t="shared" ref="N451:N514" si="36">D451-$I$7</f>
        <v>3.7200000000000004E-2</v>
      </c>
      <c r="P451">
        <f t="shared" ref="P451:P514" si="37">B451-0.0025</f>
        <v>1.4299999999999998E-2</v>
      </c>
      <c r="Q451">
        <f t="shared" ref="Q451:Q514" si="38">C451</f>
        <v>-8.6E-3</v>
      </c>
    </row>
    <row r="452" spans="1:17">
      <c r="A452">
        <v>196406</v>
      </c>
      <c r="B452">
        <v>1.5700000000000002E-2</v>
      </c>
      <c r="C452">
        <v>-1E-3</v>
      </c>
      <c r="D452">
        <v>8.8999999999999999E-3</v>
      </c>
      <c r="K452">
        <f t="shared" si="35"/>
        <v>1.5369217750000714E-2</v>
      </c>
      <c r="L452">
        <f t="shared" ref="L452:L515" si="39">K452-$I$7</f>
        <v>1.2869217750000713E-2</v>
      </c>
      <c r="N452">
        <f t="shared" si="36"/>
        <v>6.3999999999999994E-3</v>
      </c>
      <c r="P452">
        <f t="shared" si="37"/>
        <v>1.3200000000000002E-2</v>
      </c>
      <c r="Q452">
        <f t="shared" si="38"/>
        <v>-1E-3</v>
      </c>
    </row>
    <row r="453" spans="1:17">
      <c r="A453">
        <v>196407</v>
      </c>
      <c r="B453">
        <v>2.0399999999999998E-2</v>
      </c>
      <c r="C453">
        <v>2.2000000000000001E-3</v>
      </c>
      <c r="D453">
        <v>7.1999999999999998E-3</v>
      </c>
      <c r="K453">
        <f t="shared" si="35"/>
        <v>2.1127720949998433E-2</v>
      </c>
      <c r="L453">
        <f t="shared" si="39"/>
        <v>1.8627720949998434E-2</v>
      </c>
      <c r="N453">
        <f t="shared" si="36"/>
        <v>4.6999999999999993E-3</v>
      </c>
      <c r="P453">
        <f t="shared" si="37"/>
        <v>1.7899999999999999E-2</v>
      </c>
      <c r="Q453">
        <f t="shared" si="38"/>
        <v>2.2000000000000001E-3</v>
      </c>
    </row>
    <row r="454" spans="1:17">
      <c r="A454">
        <v>196408</v>
      </c>
      <c r="B454">
        <v>-1.1599999999999999E-2</v>
      </c>
      <c r="C454">
        <v>1.7000000000000001E-3</v>
      </c>
      <c r="D454">
        <v>-9.1000000000000004E-3</v>
      </c>
      <c r="K454">
        <f t="shared" si="35"/>
        <v>-1.1037670175001207E-2</v>
      </c>
      <c r="L454">
        <f t="shared" si="39"/>
        <v>-1.3537670175001208E-2</v>
      </c>
      <c r="N454">
        <f t="shared" si="36"/>
        <v>-1.1600000000000001E-2</v>
      </c>
      <c r="P454">
        <f t="shared" si="37"/>
        <v>-1.41E-2</v>
      </c>
      <c r="Q454">
        <f t="shared" si="38"/>
        <v>1.7000000000000001E-3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9"/>
        <v>2.5446854075003772E-2</v>
      </c>
      <c r="N455">
        <f t="shared" si="36"/>
        <v>6.1499999999999999E-2</v>
      </c>
      <c r="P455">
        <f t="shared" si="37"/>
        <v>2.7200000000000002E-2</v>
      </c>
      <c r="Q455">
        <f t="shared" si="38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9"/>
        <v>7.7554418999968688E-3</v>
      </c>
      <c r="N456">
        <f t="shared" si="36"/>
        <v>-2.0999999999999999E-3</v>
      </c>
      <c r="P456">
        <f t="shared" si="37"/>
        <v>6.2999999999999983E-3</v>
      </c>
      <c r="Q456">
        <f t="shared" si="38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9"/>
        <v>2.6823975249950925E-3</v>
      </c>
      <c r="N457">
        <f t="shared" si="36"/>
        <v>-2.4000000000000002E-3</v>
      </c>
      <c r="P457">
        <f t="shared" si="37"/>
        <v>3.9999999999999975E-4</v>
      </c>
      <c r="Q457">
        <f t="shared" si="38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9"/>
        <v>-2.9081609999743975E-4</v>
      </c>
      <c r="N458">
        <f t="shared" si="36"/>
        <v>-1.0500000000000001E-2</v>
      </c>
      <c r="P458">
        <f t="shared" si="37"/>
        <v>8.9999999999999976E-4</v>
      </c>
      <c r="Q458">
        <f t="shared" si="38"/>
        <v>-3.5999999999999999E-3</v>
      </c>
    </row>
    <row r="459" spans="1:17">
      <c r="A459">
        <v>196501</v>
      </c>
      <c r="B459">
        <v>3.8199999999999998E-2</v>
      </c>
      <c r="C459">
        <v>2.7000000000000003E-2</v>
      </c>
      <c r="D459">
        <v>4.53E-2</v>
      </c>
      <c r="K459">
        <f t="shared" si="35"/>
        <v>4.7131120749980798E-2</v>
      </c>
      <c r="L459">
        <f t="shared" si="39"/>
        <v>4.4631120749980796E-2</v>
      </c>
      <c r="N459">
        <f t="shared" si="36"/>
        <v>4.2799999999999998E-2</v>
      </c>
      <c r="P459">
        <f t="shared" si="37"/>
        <v>3.5699999999999996E-2</v>
      </c>
      <c r="Q459">
        <f t="shared" si="38"/>
        <v>2.7000000000000003E-2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9"/>
        <v>1.6576613424974896E-2</v>
      </c>
      <c r="N460">
        <f t="shared" si="36"/>
        <v>2.5700000000000001E-2</v>
      </c>
      <c r="P460">
        <f t="shared" si="37"/>
        <v>4.8999999999999998E-3</v>
      </c>
      <c r="Q460">
        <f t="shared" si="38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2.6000000000000003E-3</v>
      </c>
      <c r="K461">
        <f t="shared" si="35"/>
        <v>-3.5812937000133703E-3</v>
      </c>
      <c r="L461">
        <f t="shared" si="39"/>
        <v>-6.08129370001337E-3</v>
      </c>
      <c r="N461">
        <f t="shared" si="36"/>
        <v>1.0000000000000026E-4</v>
      </c>
      <c r="P461">
        <f t="shared" si="37"/>
        <v>-1.23E-2</v>
      </c>
      <c r="Q461">
        <f t="shared" si="38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9"/>
        <v>3.5503995874991819E-2</v>
      </c>
      <c r="N462">
        <f t="shared" si="36"/>
        <v>4.82E-2</v>
      </c>
      <c r="P462">
        <f t="shared" si="37"/>
        <v>3.1699999999999999E-2</v>
      </c>
      <c r="Q462">
        <f t="shared" si="38"/>
        <v>1.15E-2</v>
      </c>
    </row>
    <row r="463" spans="1:17">
      <c r="A463">
        <v>196505</v>
      </c>
      <c r="B463">
        <v>-4.5999999999999999E-3</v>
      </c>
      <c r="C463">
        <v>1.3000000000000002E-3</v>
      </c>
      <c r="D463">
        <v>-6.1999999999999998E-3</v>
      </c>
      <c r="K463">
        <f t="shared" si="35"/>
        <v>-4.1699830750009242E-3</v>
      </c>
      <c r="L463">
        <f t="shared" si="39"/>
        <v>-6.6699830750009247E-3</v>
      </c>
      <c r="N463">
        <f t="shared" si="36"/>
        <v>-8.6999999999999994E-3</v>
      </c>
      <c r="P463">
        <f t="shared" si="37"/>
        <v>-7.1000000000000004E-3</v>
      </c>
      <c r="Q463">
        <f t="shared" si="38"/>
        <v>1.3000000000000002E-3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9"/>
        <v>-6.848902787496905E-2</v>
      </c>
      <c r="N464">
        <f t="shared" si="36"/>
        <v>-9.6400000000000013E-2</v>
      </c>
      <c r="P464">
        <f t="shared" si="37"/>
        <v>-5.4099999999999995E-2</v>
      </c>
      <c r="Q464">
        <f t="shared" si="38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9"/>
        <v>1.7777805574993814E-2</v>
      </c>
      <c r="N465">
        <f t="shared" si="36"/>
        <v>7.2300000000000003E-2</v>
      </c>
      <c r="P465">
        <f t="shared" si="37"/>
        <v>1.4899999999999998E-2</v>
      </c>
      <c r="Q465">
        <f t="shared" si="38"/>
        <v>8.6999999999999994E-3</v>
      </c>
    </row>
    <row r="466" spans="1:17">
      <c r="A466">
        <v>196508</v>
      </c>
      <c r="B466">
        <v>3.0600000000000002E-2</v>
      </c>
      <c r="C466">
        <v>2.8300000000000002E-2</v>
      </c>
      <c r="D466">
        <v>7.6600000000000001E-2</v>
      </c>
      <c r="K466">
        <f t="shared" si="35"/>
        <v>3.9961137674979878E-2</v>
      </c>
      <c r="L466">
        <f t="shared" si="39"/>
        <v>3.7461137674979876E-2</v>
      </c>
      <c r="N466">
        <f t="shared" si="36"/>
        <v>7.4099999999999999E-2</v>
      </c>
      <c r="P466">
        <f t="shared" si="37"/>
        <v>2.8100000000000003E-2</v>
      </c>
      <c r="Q466">
        <f t="shared" si="38"/>
        <v>2.8300000000000002E-2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9"/>
        <v>3.1317006399995448E-2</v>
      </c>
      <c r="N467">
        <f t="shared" si="36"/>
        <v>5.0999999999999997E-2</v>
      </c>
      <c r="P467">
        <f t="shared" si="37"/>
        <v>2.92E-2</v>
      </c>
      <c r="Q467">
        <f t="shared" si="38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9"/>
        <v>3.4968790924982007E-2</v>
      </c>
      <c r="N468">
        <f t="shared" si="36"/>
        <v>7.6399999999999996E-2</v>
      </c>
      <c r="P468">
        <f t="shared" si="37"/>
        <v>2.6600000000000002E-2</v>
      </c>
      <c r="Q468">
        <f t="shared" si="38"/>
        <v>2.53E-2</v>
      </c>
    </row>
    <row r="469" spans="1:17">
      <c r="A469">
        <v>196511</v>
      </c>
      <c r="B469">
        <v>3.1999999999999997E-3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9"/>
        <v>1.6081374624966931E-2</v>
      </c>
      <c r="N469">
        <f t="shared" si="36"/>
        <v>8.2200000000000009E-2</v>
      </c>
      <c r="P469">
        <f t="shared" si="37"/>
        <v>6.9999999999999967E-4</v>
      </c>
      <c r="Q469">
        <f t="shared" si="38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9"/>
        <v>1.7714114349985353E-2</v>
      </c>
      <c r="N470">
        <f t="shared" si="36"/>
        <v>3.8099999999999995E-2</v>
      </c>
      <c r="P470">
        <f t="shared" si="37"/>
        <v>1.09E-2</v>
      </c>
      <c r="Q470">
        <f t="shared" si="38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9"/>
        <v>2.120203839997269E-2</v>
      </c>
      <c r="N471">
        <f t="shared" si="36"/>
        <v>8.8399999999999992E-2</v>
      </c>
      <c r="P471">
        <f t="shared" si="37"/>
        <v>8.4999999999999989E-3</v>
      </c>
      <c r="Q471">
        <f t="shared" si="38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9"/>
        <v>3.3882625499688482E-3</v>
      </c>
      <c r="N472">
        <f t="shared" si="36"/>
        <v>7.9899999999999999E-2</v>
      </c>
      <c r="P472">
        <f t="shared" si="37"/>
        <v>-1.11E-2</v>
      </c>
      <c r="Q472">
        <f t="shared" si="38"/>
        <v>4.3799999999999999E-2</v>
      </c>
    </row>
    <row r="473" spans="1:17">
      <c r="A473">
        <v>196603</v>
      </c>
      <c r="B473">
        <v>-2.1299999999999996E-2</v>
      </c>
      <c r="C473">
        <v>9.7999999999999997E-3</v>
      </c>
      <c r="D473">
        <v>1.0500000000000001E-2</v>
      </c>
      <c r="K473">
        <f t="shared" si="35"/>
        <v>-1.8058333950006965E-2</v>
      </c>
      <c r="L473">
        <f t="shared" si="39"/>
        <v>-2.0558333950006964E-2</v>
      </c>
      <c r="N473">
        <f t="shared" si="36"/>
        <v>8.0000000000000002E-3</v>
      </c>
      <c r="P473">
        <f t="shared" si="37"/>
        <v>-2.3799999999999995E-2</v>
      </c>
      <c r="Q473">
        <f t="shared" si="38"/>
        <v>9.7999999999999997E-3</v>
      </c>
    </row>
    <row r="474" spans="1:17">
      <c r="A474">
        <v>196604</v>
      </c>
      <c r="B474">
        <v>2.4800000000000003E-2</v>
      </c>
      <c r="C474">
        <v>3.4100000000000005E-2</v>
      </c>
      <c r="D474">
        <v>5.1200000000000002E-2</v>
      </c>
      <c r="K474">
        <f t="shared" si="35"/>
        <v>3.6079674724975752E-2</v>
      </c>
      <c r="L474">
        <f t="shared" si="39"/>
        <v>3.357967472497575E-2</v>
      </c>
      <c r="N474">
        <f t="shared" si="36"/>
        <v>4.87E-2</v>
      </c>
      <c r="P474">
        <f t="shared" si="37"/>
        <v>2.2300000000000004E-2</v>
      </c>
      <c r="Q474">
        <f t="shared" si="38"/>
        <v>3.4100000000000005E-2</v>
      </c>
    </row>
    <row r="475" spans="1:17">
      <c r="A475">
        <v>196605</v>
      </c>
      <c r="B475">
        <v>-5.2500000000000005E-2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9"/>
        <v>-7.0215983499967285E-2</v>
      </c>
      <c r="N475">
        <f t="shared" si="36"/>
        <v>-0.1129</v>
      </c>
      <c r="P475">
        <f t="shared" si="37"/>
        <v>-5.5000000000000007E-2</v>
      </c>
      <c r="Q475">
        <f t="shared" si="38"/>
        <v>-4.5999999999999999E-2</v>
      </c>
    </row>
    <row r="476" spans="1:17">
      <c r="A476">
        <v>196606</v>
      </c>
      <c r="B476">
        <v>-1.06E-2</v>
      </c>
      <c r="C476">
        <v>1.0400000000000001E-2</v>
      </c>
      <c r="D476">
        <v>3.6000000000000004E-2</v>
      </c>
      <c r="K476">
        <f t="shared" si="35"/>
        <v>-7.1598646000073964E-3</v>
      </c>
      <c r="L476">
        <f t="shared" si="39"/>
        <v>-9.6598646000073968E-3</v>
      </c>
      <c r="N476">
        <f t="shared" si="36"/>
        <v>3.3500000000000002E-2</v>
      </c>
      <c r="P476">
        <f t="shared" si="37"/>
        <v>-1.3100000000000001E-2</v>
      </c>
      <c r="Q476">
        <f t="shared" si="38"/>
        <v>1.0400000000000001E-2</v>
      </c>
    </row>
    <row r="477" spans="1:17">
      <c r="A477">
        <v>196607</v>
      </c>
      <c r="B477">
        <v>-1.2799999999999999E-2</v>
      </c>
      <c r="C477">
        <v>-4.3E-3</v>
      </c>
      <c r="D477">
        <v>-2.1499999999999998E-2</v>
      </c>
      <c r="K477">
        <f t="shared" si="35"/>
        <v>-1.422236367499694E-2</v>
      </c>
      <c r="L477">
        <f t="shared" si="39"/>
        <v>-1.6722363674996941E-2</v>
      </c>
      <c r="N477">
        <f t="shared" si="36"/>
        <v>-2.3999999999999997E-2</v>
      </c>
      <c r="P477">
        <f t="shared" si="37"/>
        <v>-1.5299999999999999E-2</v>
      </c>
      <c r="Q477">
        <f t="shared" si="38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9"/>
        <v>-8.8382736024976621E-2</v>
      </c>
      <c r="N478">
        <f t="shared" si="36"/>
        <v>-9.3100000000000002E-2</v>
      </c>
      <c r="P478">
        <f t="shared" si="37"/>
        <v>-7.7500000000000013E-2</v>
      </c>
      <c r="Q478">
        <f t="shared" si="38"/>
        <v>-3.2899999999999999E-2</v>
      </c>
    </row>
    <row r="479" spans="1:17">
      <c r="A479">
        <v>196609</v>
      </c>
      <c r="B479">
        <v>-6.6E-3</v>
      </c>
      <c r="C479">
        <v>-1.0400000000000001E-2</v>
      </c>
      <c r="D479">
        <v>-4.9200000000000001E-2</v>
      </c>
      <c r="K479">
        <f t="shared" si="35"/>
        <v>-1.0040135399992604E-2</v>
      </c>
      <c r="L479">
        <f t="shared" si="39"/>
        <v>-1.2540135399992604E-2</v>
      </c>
      <c r="N479">
        <f t="shared" si="36"/>
        <v>-5.1700000000000003E-2</v>
      </c>
      <c r="P479">
        <f t="shared" si="37"/>
        <v>-9.1000000000000004E-3</v>
      </c>
      <c r="Q479">
        <f t="shared" si="38"/>
        <v>-1.0400000000000001E-2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9"/>
        <v>1.9032997300046373E-2</v>
      </c>
      <c r="N480">
        <f t="shared" si="36"/>
        <v>-5.9900000000000009E-2</v>
      </c>
      <c r="P480">
        <f t="shared" si="37"/>
        <v>4.0599999999999997E-2</v>
      </c>
      <c r="Q480">
        <f t="shared" si="38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9"/>
        <v>2.9889027874969058E-2</v>
      </c>
      <c r="N481">
        <f t="shared" si="36"/>
        <v>0.1186</v>
      </c>
      <c r="P481">
        <f t="shared" si="37"/>
        <v>1.5499999999999998E-2</v>
      </c>
      <c r="Q481">
        <f t="shared" si="38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9"/>
        <v>9.7133490249851351E-3</v>
      </c>
      <c r="N482">
        <f t="shared" si="36"/>
        <v>1.1599999999999999E-2</v>
      </c>
      <c r="P482">
        <f t="shared" si="37"/>
        <v>2.8E-3</v>
      </c>
      <c r="Q482">
        <f t="shared" si="38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9"/>
        <v>0.11075492674994097</v>
      </c>
      <c r="N483">
        <f t="shared" si="36"/>
        <v>8.0299999999999996E-2</v>
      </c>
      <c r="P483">
        <f t="shared" si="37"/>
        <v>8.3299999999999999E-2</v>
      </c>
      <c r="Q483">
        <f t="shared" si="38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9"/>
        <v>1.9915048924976319E-2</v>
      </c>
      <c r="N484">
        <f t="shared" si="36"/>
        <v>5.0099999999999999E-2</v>
      </c>
      <c r="P484">
        <f t="shared" si="37"/>
        <v>8.8999999999999999E-3</v>
      </c>
      <c r="Q484">
        <f t="shared" si="38"/>
        <v>3.3300000000000003E-2</v>
      </c>
    </row>
    <row r="485" spans="1:17">
      <c r="A485">
        <v>196703</v>
      </c>
      <c r="B485">
        <v>4.3800000000000006E-2</v>
      </c>
      <c r="C485">
        <v>1.4199999999999999E-2</v>
      </c>
      <c r="D485">
        <v>6.4000000000000001E-2</v>
      </c>
      <c r="K485">
        <f t="shared" si="35"/>
        <v>4.8497107949989904E-2</v>
      </c>
      <c r="L485">
        <f t="shared" si="39"/>
        <v>4.5997107949989902E-2</v>
      </c>
      <c r="N485">
        <f t="shared" si="36"/>
        <v>6.1499999999999999E-2</v>
      </c>
      <c r="P485">
        <f t="shared" si="37"/>
        <v>4.1300000000000003E-2</v>
      </c>
      <c r="Q485">
        <f t="shared" si="38"/>
        <v>1.4199999999999999E-2</v>
      </c>
    </row>
    <row r="486" spans="1:17">
      <c r="A486">
        <v>196704</v>
      </c>
      <c r="B486">
        <v>4.2100000000000005E-2</v>
      </c>
      <c r="C486">
        <v>6.1999999999999998E-3</v>
      </c>
      <c r="D486">
        <v>6.4200000000000007E-2</v>
      </c>
      <c r="K486">
        <f t="shared" si="35"/>
        <v>4.4150849949995595E-2</v>
      </c>
      <c r="L486">
        <f t="shared" si="39"/>
        <v>4.1650849949995593E-2</v>
      </c>
      <c r="N486">
        <f t="shared" si="36"/>
        <v>6.1700000000000005E-2</v>
      </c>
      <c r="P486">
        <f t="shared" si="37"/>
        <v>3.9600000000000003E-2</v>
      </c>
      <c r="Q486">
        <f t="shared" si="38"/>
        <v>6.1999999999999998E-3</v>
      </c>
    </row>
    <row r="487" spans="1:17">
      <c r="A487">
        <v>196705</v>
      </c>
      <c r="B487">
        <v>-0.04</v>
      </c>
      <c r="C487">
        <v>1.8000000000000002E-2</v>
      </c>
      <c r="D487">
        <v>-3.1400000000000004E-2</v>
      </c>
      <c r="K487">
        <f t="shared" si="35"/>
        <v>-3.4045919500012803E-2</v>
      </c>
      <c r="L487">
        <f t="shared" si="39"/>
        <v>-3.6545919500012805E-2</v>
      </c>
      <c r="N487">
        <f t="shared" si="36"/>
        <v>-3.3900000000000007E-2</v>
      </c>
      <c r="P487">
        <f t="shared" si="37"/>
        <v>-4.2500000000000003E-2</v>
      </c>
      <c r="Q487">
        <f t="shared" si="38"/>
        <v>1.8000000000000002E-2</v>
      </c>
    </row>
    <row r="488" spans="1:17">
      <c r="A488">
        <v>196706</v>
      </c>
      <c r="B488">
        <v>2.6800000000000004E-2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9"/>
        <v>4.3849230974957965E-2</v>
      </c>
      <c r="N488">
        <f t="shared" si="36"/>
        <v>8.1000000000000003E-2</v>
      </c>
      <c r="P488">
        <f t="shared" si="37"/>
        <v>2.4300000000000006E-2</v>
      </c>
      <c r="Q488">
        <f t="shared" si="38"/>
        <v>5.91E-2</v>
      </c>
    </row>
    <row r="489" spans="1:17">
      <c r="A489">
        <v>196707</v>
      </c>
      <c r="B489">
        <v>4.8899999999999999E-2</v>
      </c>
      <c r="C489">
        <v>3.1000000000000003E-2</v>
      </c>
      <c r="D489">
        <v>7.2900000000000006E-2</v>
      </c>
      <c r="K489">
        <f t="shared" si="35"/>
        <v>5.9154249749977954E-2</v>
      </c>
      <c r="L489">
        <f t="shared" si="39"/>
        <v>5.6654249749977952E-2</v>
      </c>
      <c r="N489">
        <f t="shared" si="36"/>
        <v>7.0400000000000004E-2</v>
      </c>
      <c r="P489">
        <f t="shared" si="37"/>
        <v>4.6399999999999997E-2</v>
      </c>
      <c r="Q489">
        <f t="shared" si="38"/>
        <v>3.1000000000000003E-2</v>
      </c>
    </row>
    <row r="490" spans="1:17">
      <c r="A490">
        <v>196708</v>
      </c>
      <c r="B490">
        <v>-5.7999999999999996E-3</v>
      </c>
      <c r="C490">
        <v>3.9000000000000003E-3</v>
      </c>
      <c r="D490">
        <v>-1.77E-2</v>
      </c>
      <c r="K490">
        <f t="shared" si="35"/>
        <v>-4.5099492250027734E-3</v>
      </c>
      <c r="L490">
        <f t="shared" si="39"/>
        <v>-7.0099492250027731E-3</v>
      </c>
      <c r="N490">
        <f t="shared" si="36"/>
        <v>-2.0199999999999999E-2</v>
      </c>
      <c r="P490">
        <f t="shared" si="37"/>
        <v>-8.3000000000000001E-3</v>
      </c>
      <c r="Q490">
        <f t="shared" si="38"/>
        <v>3.9000000000000003E-3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9"/>
        <v>4.1789623949978517E-2</v>
      </c>
      <c r="N491">
        <f t="shared" si="36"/>
        <v>4.2499999999999996E-2</v>
      </c>
      <c r="P491">
        <f t="shared" si="37"/>
        <v>3.1799999999999995E-2</v>
      </c>
      <c r="Q491">
        <f t="shared" si="38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6.8000000000000005E-3</v>
      </c>
      <c r="K492">
        <f t="shared" si="35"/>
        <v>-2.2435204950009814E-2</v>
      </c>
      <c r="L492">
        <f t="shared" si="39"/>
        <v>-2.4935204950009813E-2</v>
      </c>
      <c r="N492">
        <f t="shared" si="36"/>
        <v>4.3E-3</v>
      </c>
      <c r="P492">
        <f t="shared" si="37"/>
        <v>-2.9499999999999998E-2</v>
      </c>
      <c r="Q492">
        <f t="shared" si="38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1.1399999999999999E-2</v>
      </c>
      <c r="K493">
        <f t="shared" si="35"/>
        <v>7.829251599998862E-3</v>
      </c>
      <c r="L493">
        <f t="shared" si="39"/>
        <v>5.3292515999988615E-3</v>
      </c>
      <c r="N493">
        <f t="shared" si="36"/>
        <v>8.8999999999999982E-3</v>
      </c>
      <c r="P493">
        <f t="shared" si="37"/>
        <v>4.8000000000000004E-3</v>
      </c>
      <c r="Q493">
        <f t="shared" si="38"/>
        <v>1.6000000000000001E-3</v>
      </c>
    </row>
    <row r="494" spans="1:17">
      <c r="A494">
        <v>196712</v>
      </c>
      <c r="B494">
        <v>3.3799999999999997E-2</v>
      </c>
      <c r="C494">
        <v>5.7800000000000004E-2</v>
      </c>
      <c r="D494">
        <v>9.0700000000000003E-2</v>
      </c>
      <c r="K494">
        <f t="shared" si="35"/>
        <v>5.291921404995889E-2</v>
      </c>
      <c r="L494">
        <f t="shared" si="39"/>
        <v>5.0419214049958888E-2</v>
      </c>
      <c r="N494">
        <f t="shared" si="36"/>
        <v>8.8200000000000001E-2</v>
      </c>
      <c r="P494">
        <f t="shared" si="37"/>
        <v>3.1299999999999994E-2</v>
      </c>
      <c r="Q494">
        <f t="shared" si="38"/>
        <v>5.7800000000000004E-2</v>
      </c>
    </row>
    <row r="495" spans="1:17">
      <c r="A495">
        <v>196801</v>
      </c>
      <c r="B495">
        <v>-3.6599999999999994E-2</v>
      </c>
      <c r="C495">
        <v>3.8900000000000004E-2</v>
      </c>
      <c r="D495">
        <v>-7.1199999999999999E-2</v>
      </c>
      <c r="K495">
        <f t="shared" si="35"/>
        <v>-2.3732570475027658E-2</v>
      </c>
      <c r="L495">
        <f t="shared" si="39"/>
        <v>-2.6232570475027656E-2</v>
      </c>
      <c r="N495">
        <f t="shared" si="36"/>
        <v>-7.3700000000000002E-2</v>
      </c>
      <c r="P495">
        <f t="shared" si="37"/>
        <v>-3.9099999999999996E-2</v>
      </c>
      <c r="Q495">
        <f t="shared" si="38"/>
        <v>3.8900000000000004E-2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9"/>
        <v>-4.5891154599978945E-2</v>
      </c>
      <c r="N496">
        <f t="shared" si="36"/>
        <v>-9.2799999999999994E-2</v>
      </c>
      <c r="P496">
        <f t="shared" si="37"/>
        <v>-3.61E-2</v>
      </c>
      <c r="Q496">
        <f t="shared" si="38"/>
        <v>-2.9600000000000001E-2</v>
      </c>
    </row>
    <row r="497" spans="1:17">
      <c r="A497">
        <v>196803</v>
      </c>
      <c r="B497">
        <v>5.7999999999999996E-3</v>
      </c>
      <c r="C497">
        <v>-1.3500000000000002E-2</v>
      </c>
      <c r="D497">
        <v>2.7400000000000004E-2</v>
      </c>
      <c r="K497">
        <f t="shared" si="35"/>
        <v>1.3344396250096003E-3</v>
      </c>
      <c r="L497">
        <f t="shared" si="39"/>
        <v>-1.1655603749903998E-3</v>
      </c>
      <c r="N497">
        <f t="shared" si="36"/>
        <v>2.4900000000000005E-2</v>
      </c>
      <c r="P497">
        <f t="shared" si="37"/>
        <v>3.2999999999999995E-3</v>
      </c>
      <c r="Q497">
        <f t="shared" si="38"/>
        <v>-1.3500000000000002E-2</v>
      </c>
    </row>
    <row r="498" spans="1:17">
      <c r="A498">
        <v>196804</v>
      </c>
      <c r="B498">
        <v>9.4800000000000009E-2</v>
      </c>
      <c r="C498">
        <v>5.6600000000000004E-2</v>
      </c>
      <c r="D498">
        <v>0.19489999999999999</v>
      </c>
      <c r="K498">
        <f t="shared" si="35"/>
        <v>0.11352227534995976</v>
      </c>
      <c r="L498">
        <f t="shared" si="39"/>
        <v>0.11102227534995976</v>
      </c>
      <c r="N498">
        <f t="shared" si="36"/>
        <v>0.19239999999999999</v>
      </c>
      <c r="P498">
        <f t="shared" si="37"/>
        <v>9.2300000000000007E-2</v>
      </c>
      <c r="Q498">
        <f t="shared" si="38"/>
        <v>5.6600000000000004E-2</v>
      </c>
    </row>
    <row r="499" spans="1:17">
      <c r="A499">
        <v>196805</v>
      </c>
      <c r="B499">
        <v>2.7299999999999998E-2</v>
      </c>
      <c r="C499">
        <v>6.4899999999999999E-2</v>
      </c>
      <c r="D499">
        <v>0.10220000000000001</v>
      </c>
      <c r="K499">
        <f t="shared" si="35"/>
        <v>4.8767768024953841E-2</v>
      </c>
      <c r="L499">
        <f t="shared" si="39"/>
        <v>4.6267768024953838E-2</v>
      </c>
      <c r="N499">
        <f t="shared" si="36"/>
        <v>9.9700000000000011E-2</v>
      </c>
      <c r="P499">
        <f t="shared" si="37"/>
        <v>2.4799999999999999E-2</v>
      </c>
      <c r="Q499">
        <f t="shared" si="38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9"/>
        <v>7.8730443750017771E-3</v>
      </c>
      <c r="N500">
        <f t="shared" si="36"/>
        <v>6.1999999999999989E-3</v>
      </c>
      <c r="P500">
        <f t="shared" si="37"/>
        <v>8.6999999999999994E-3</v>
      </c>
      <c r="Q500">
        <f t="shared" si="38"/>
        <v>-2.5000000000000001E-3</v>
      </c>
    </row>
    <row r="501" spans="1:17">
      <c r="A501">
        <v>196807</v>
      </c>
      <c r="B501">
        <v>-2.2400000000000003E-2</v>
      </c>
      <c r="C501">
        <v>-1.3700000000000002E-2</v>
      </c>
      <c r="D501">
        <v>-4.3899999999999995E-2</v>
      </c>
      <c r="K501">
        <f t="shared" si="35"/>
        <v>-2.6931716824990262E-2</v>
      </c>
      <c r="L501">
        <f t="shared" si="39"/>
        <v>-2.943171682499026E-2</v>
      </c>
      <c r="N501">
        <f t="shared" si="36"/>
        <v>-4.6399999999999997E-2</v>
      </c>
      <c r="P501">
        <f t="shared" si="37"/>
        <v>-2.4900000000000002E-2</v>
      </c>
      <c r="Q501">
        <f t="shared" si="38"/>
        <v>-1.3700000000000002E-2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9"/>
        <v>2.2774148199983503E-2</v>
      </c>
      <c r="N502">
        <f t="shared" si="36"/>
        <v>4.4600000000000001E-2</v>
      </c>
      <c r="P502">
        <f t="shared" si="37"/>
        <v>1.5100000000000001E-2</v>
      </c>
      <c r="Q502">
        <f t="shared" si="38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9"/>
        <v>5.1394981224980013E-2</v>
      </c>
      <c r="N503">
        <f t="shared" si="36"/>
        <v>9.7699999999999995E-2</v>
      </c>
      <c r="P503">
        <f t="shared" si="37"/>
        <v>4.2099999999999999E-2</v>
      </c>
      <c r="Q503">
        <f t="shared" si="38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9"/>
        <v>4.5122452000034129E-3</v>
      </c>
      <c r="N504">
        <f t="shared" si="36"/>
        <v>-1.8499999999999999E-2</v>
      </c>
      <c r="P504">
        <f t="shared" si="37"/>
        <v>6.0999999999999995E-3</v>
      </c>
      <c r="Q504">
        <f t="shared" si="38"/>
        <v>-4.7999999999999996E-3</v>
      </c>
    </row>
    <row r="505" spans="1:17">
      <c r="A505">
        <v>196811</v>
      </c>
      <c r="B505">
        <v>5.8500000000000003E-2</v>
      </c>
      <c r="C505">
        <v>2.3700000000000002E-2</v>
      </c>
      <c r="D505">
        <v>9.98E-2</v>
      </c>
      <c r="K505">
        <f t="shared" si="35"/>
        <v>6.6339539324983154E-2</v>
      </c>
      <c r="L505">
        <f t="shared" si="39"/>
        <v>6.3839539324983152E-2</v>
      </c>
      <c r="N505">
        <f t="shared" si="36"/>
        <v>9.7299999999999998E-2</v>
      </c>
      <c r="P505">
        <f t="shared" si="37"/>
        <v>5.6000000000000001E-2</v>
      </c>
      <c r="Q505">
        <f t="shared" si="38"/>
        <v>2.3700000000000002E-2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9"/>
        <v>-2.6353403500024176E-2</v>
      </c>
      <c r="N506">
        <f t="shared" si="36"/>
        <v>-3.1099999999999999E-2</v>
      </c>
      <c r="P506">
        <f t="shared" si="37"/>
        <v>-3.7600000000000001E-2</v>
      </c>
      <c r="Q506">
        <f t="shared" si="38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9"/>
        <v>-1.2213945099994596E-2</v>
      </c>
      <c r="N507">
        <f t="shared" si="36"/>
        <v>-2.2799999999999997E-2</v>
      </c>
      <c r="P507">
        <f t="shared" si="37"/>
        <v>-9.7000000000000003E-3</v>
      </c>
      <c r="Q507">
        <f t="shared" si="38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9"/>
        <v>-6.9332820649971982E-2</v>
      </c>
      <c r="N508">
        <f t="shared" si="36"/>
        <v>-9.920000000000001E-2</v>
      </c>
      <c r="P508">
        <f t="shared" si="37"/>
        <v>-5.6300000000000003E-2</v>
      </c>
      <c r="Q508">
        <f t="shared" si="38"/>
        <v>-3.9399999999999998E-2</v>
      </c>
    </row>
    <row r="509" spans="1:17">
      <c r="A509">
        <v>196903</v>
      </c>
      <c r="B509">
        <v>3.1000000000000003E-2</v>
      </c>
      <c r="C509">
        <v>-2.6000000000000003E-3</v>
      </c>
      <c r="D509">
        <v>5.7699999999999994E-2</v>
      </c>
      <c r="K509">
        <f t="shared" si="35"/>
        <v>3.0139966150001852E-2</v>
      </c>
      <c r="L509">
        <f t="shared" si="39"/>
        <v>2.7639966150001853E-2</v>
      </c>
      <c r="N509">
        <f t="shared" si="36"/>
        <v>5.5199999999999992E-2</v>
      </c>
      <c r="P509">
        <f t="shared" si="37"/>
        <v>2.8500000000000004E-2</v>
      </c>
      <c r="Q509">
        <f t="shared" si="38"/>
        <v>-2.6000000000000003E-3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3.2400000000000005E-2</v>
      </c>
      <c r="K510">
        <f t="shared" si="35"/>
        <v>1.7022194425006187E-2</v>
      </c>
      <c r="L510">
        <f t="shared" si="39"/>
        <v>1.4522194425006187E-2</v>
      </c>
      <c r="N510">
        <f t="shared" si="36"/>
        <v>2.9900000000000006E-2</v>
      </c>
      <c r="P510">
        <f t="shared" si="37"/>
        <v>1.7400000000000002E-2</v>
      </c>
      <c r="Q510">
        <f t="shared" si="38"/>
        <v>-8.6999999999999994E-3</v>
      </c>
    </row>
    <row r="511" spans="1:17">
      <c r="A511">
        <v>196905</v>
      </c>
      <c r="B511">
        <v>3.7999999999999996E-3</v>
      </c>
      <c r="C511">
        <v>-2.2000000000000001E-3</v>
      </c>
      <c r="D511">
        <v>2.6000000000000002E-2</v>
      </c>
      <c r="K511">
        <f t="shared" si="35"/>
        <v>3.0722790500015643E-3</v>
      </c>
      <c r="L511">
        <f t="shared" si="39"/>
        <v>5.7227905000156428E-4</v>
      </c>
      <c r="N511">
        <f t="shared" si="36"/>
        <v>2.3500000000000004E-2</v>
      </c>
      <c r="P511">
        <f t="shared" si="37"/>
        <v>1.2999999999999995E-3</v>
      </c>
      <c r="Q511">
        <f t="shared" si="38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9"/>
        <v>-8.709531972496154E-2</v>
      </c>
      <c r="N512">
        <f t="shared" si="36"/>
        <v>-0.11800000000000001</v>
      </c>
      <c r="P512">
        <f t="shared" si="37"/>
        <v>-6.9200000000000012E-2</v>
      </c>
      <c r="Q512">
        <f t="shared" si="38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9"/>
        <v>-7.7851188449977113E-2</v>
      </c>
      <c r="N513">
        <f t="shared" si="36"/>
        <v>-7.17E-2</v>
      </c>
      <c r="P513">
        <f t="shared" si="37"/>
        <v>-6.720000000000001E-2</v>
      </c>
      <c r="Q513">
        <f t="shared" si="38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0.10470000000000002</v>
      </c>
      <c r="K514">
        <f t="shared" si="35"/>
        <v>5.4743962024993667E-2</v>
      </c>
      <c r="L514">
        <f t="shared" si="39"/>
        <v>5.2243962024993665E-2</v>
      </c>
      <c r="N514">
        <f t="shared" si="36"/>
        <v>0.10220000000000001</v>
      </c>
      <c r="P514">
        <f t="shared" si="37"/>
        <v>4.9299999999999997E-2</v>
      </c>
      <c r="Q514">
        <f t="shared" si="38"/>
        <v>8.8999999999999999E-3</v>
      </c>
    </row>
    <row r="515" spans="1:17">
      <c r="A515">
        <v>196909</v>
      </c>
      <c r="B515">
        <v>-2.3599999999999999E-2</v>
      </c>
      <c r="C515">
        <v>1.1399999999999999E-2</v>
      </c>
      <c r="D515">
        <v>-2.8399999999999998E-2</v>
      </c>
      <c r="K515">
        <f t="shared" ref="K515:K578" si="40">SUMPRODUCT($G$12:$H$12,B515:C515)</f>
        <v>-1.9829082350008107E-2</v>
      </c>
      <c r="L515">
        <f t="shared" si="39"/>
        <v>-2.2329082350008106E-2</v>
      </c>
      <c r="N515">
        <f t="shared" ref="N515:N578" si="41">D515-$I$7</f>
        <v>-3.0899999999999997E-2</v>
      </c>
      <c r="P515">
        <f t="shared" ref="P515:P578" si="42">B515-0.0025</f>
        <v>-2.6099999999999998E-2</v>
      </c>
      <c r="Q515">
        <f t="shared" ref="Q515:Q578" si="43">C515</f>
        <v>1.1399999999999999E-2</v>
      </c>
    </row>
    <row r="516" spans="1:17">
      <c r="A516">
        <v>196910</v>
      </c>
      <c r="B516">
        <v>5.6599999999999998E-2</v>
      </c>
      <c r="C516">
        <v>3.8700000000000005E-2</v>
      </c>
      <c r="D516">
        <v>6.6699999999999995E-2</v>
      </c>
      <c r="K516">
        <f t="shared" si="40"/>
        <v>6.9401273074972472E-2</v>
      </c>
      <c r="L516">
        <f t="shared" ref="L516:L579" si="44">K516-$I$7</f>
        <v>6.690127307497247E-2</v>
      </c>
      <c r="N516">
        <f t="shared" si="41"/>
        <v>6.4199999999999993E-2</v>
      </c>
      <c r="P516">
        <f t="shared" si="42"/>
        <v>5.4099999999999995E-2</v>
      </c>
      <c r="Q516">
        <f t="shared" si="43"/>
        <v>3.8700000000000005E-2</v>
      </c>
    </row>
    <row r="517" spans="1:17">
      <c r="A517">
        <v>196911</v>
      </c>
      <c r="B517">
        <v>-3.27E-2</v>
      </c>
      <c r="C517">
        <v>-2.58E-2</v>
      </c>
      <c r="D517">
        <v>-3.9000000000000003E-3</v>
      </c>
      <c r="K517">
        <f t="shared" si="40"/>
        <v>-4.1234182049981652E-2</v>
      </c>
      <c r="L517">
        <f t="shared" si="44"/>
        <v>-4.3734182049981654E-2</v>
      </c>
      <c r="N517">
        <f t="shared" si="41"/>
        <v>-6.4000000000000003E-3</v>
      </c>
      <c r="P517">
        <f t="shared" si="42"/>
        <v>-3.5200000000000002E-2</v>
      </c>
      <c r="Q517">
        <f t="shared" si="43"/>
        <v>-2.58E-2</v>
      </c>
    </row>
    <row r="518" spans="1:17">
      <c r="A518">
        <v>196912</v>
      </c>
      <c r="B518">
        <v>-1.9900000000000001E-2</v>
      </c>
      <c r="C518">
        <v>-3.7200000000000004E-2</v>
      </c>
      <c r="D518">
        <v>1.2700000000000001E-2</v>
      </c>
      <c r="K518">
        <f t="shared" si="40"/>
        <v>-3.2205099699973545E-2</v>
      </c>
      <c r="L518">
        <f t="shared" si="44"/>
        <v>-3.4705099699973548E-2</v>
      </c>
      <c r="N518">
        <f t="shared" si="41"/>
        <v>1.0200000000000001E-2</v>
      </c>
      <c r="P518">
        <f t="shared" si="42"/>
        <v>-2.24E-2</v>
      </c>
      <c r="Q518">
        <f t="shared" si="43"/>
        <v>-3.7200000000000004E-2</v>
      </c>
    </row>
    <row r="519" spans="1:17">
      <c r="A519">
        <v>197001</v>
      </c>
      <c r="B519">
        <v>-7.4999999999999997E-2</v>
      </c>
      <c r="C519">
        <v>2.9500000000000002E-2</v>
      </c>
      <c r="D519">
        <v>-7.0499999999999993E-2</v>
      </c>
      <c r="K519">
        <f t="shared" si="40"/>
        <v>-6.5241923625020973E-2</v>
      </c>
      <c r="L519">
        <f t="shared" si="44"/>
        <v>-6.7741923625020975E-2</v>
      </c>
      <c r="N519">
        <f t="shared" si="41"/>
        <v>-7.2999999999999995E-2</v>
      </c>
      <c r="P519">
        <f t="shared" si="42"/>
        <v>-7.7499999999999999E-2</v>
      </c>
      <c r="Q519">
        <f t="shared" si="43"/>
        <v>2.9500000000000002E-2</v>
      </c>
    </row>
    <row r="520" spans="1:17">
      <c r="A520">
        <v>197002</v>
      </c>
      <c r="B520">
        <v>5.7499999999999996E-2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4"/>
        <v>4.6531974400018203E-2</v>
      </c>
      <c r="N520">
        <f t="shared" si="41"/>
        <v>2.9399999999999999E-2</v>
      </c>
      <c r="P520">
        <f t="shared" si="42"/>
        <v>5.4999999999999993E-2</v>
      </c>
      <c r="Q520">
        <f t="shared" si="43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4"/>
        <v>-1.5007991749983643E-2</v>
      </c>
      <c r="N521">
        <f t="shared" si="41"/>
        <v>-3.2300000000000002E-2</v>
      </c>
      <c r="P521">
        <f t="shared" si="42"/>
        <v>-7.4000000000000003E-3</v>
      </c>
      <c r="Q521">
        <f t="shared" si="43"/>
        <v>-2.3E-2</v>
      </c>
    </row>
    <row r="522" spans="1:17">
      <c r="A522">
        <v>197004</v>
      </c>
      <c r="B522">
        <v>-0.105</v>
      </c>
      <c r="C522">
        <v>-6.1200000000000004E-2</v>
      </c>
      <c r="D522">
        <v>-0.11410000000000001</v>
      </c>
      <c r="K522">
        <f t="shared" si="40"/>
        <v>-0.12524387369995646</v>
      </c>
      <c r="L522">
        <f t="shared" si="44"/>
        <v>-0.12774387369995646</v>
      </c>
      <c r="N522">
        <f t="shared" si="41"/>
        <v>-0.11660000000000001</v>
      </c>
      <c r="P522">
        <f t="shared" si="42"/>
        <v>-0.1075</v>
      </c>
      <c r="Q522">
        <f t="shared" si="43"/>
        <v>-6.1200000000000004E-2</v>
      </c>
    </row>
    <row r="523" spans="1:17">
      <c r="A523">
        <v>197005</v>
      </c>
      <c r="B523">
        <v>-6.3899999999999998E-2</v>
      </c>
      <c r="C523">
        <v>-4.5599999999999995E-2</v>
      </c>
      <c r="D523">
        <v>-6.2899999999999998E-2</v>
      </c>
      <c r="K523">
        <f t="shared" si="40"/>
        <v>-7.8983670599967568E-2</v>
      </c>
      <c r="L523">
        <f t="shared" si="44"/>
        <v>-8.148367059996757E-2</v>
      </c>
      <c r="N523">
        <f t="shared" si="41"/>
        <v>-6.54E-2</v>
      </c>
      <c r="P523">
        <f t="shared" si="42"/>
        <v>-6.6400000000000001E-2</v>
      </c>
      <c r="Q523">
        <f t="shared" si="43"/>
        <v>-4.5599999999999995E-2</v>
      </c>
    </row>
    <row r="524" spans="1:17">
      <c r="A524">
        <v>197006</v>
      </c>
      <c r="B524">
        <v>-5.21E-2</v>
      </c>
      <c r="C524">
        <v>-2.1400000000000002E-2</v>
      </c>
      <c r="D524">
        <v>-9.4000000000000004E-3</v>
      </c>
      <c r="K524">
        <f t="shared" si="40"/>
        <v>-5.9178740149984782E-2</v>
      </c>
      <c r="L524">
        <f t="shared" si="44"/>
        <v>-6.1678740149984784E-2</v>
      </c>
      <c r="N524">
        <f t="shared" si="41"/>
        <v>-1.1900000000000001E-2</v>
      </c>
      <c r="P524">
        <f t="shared" si="42"/>
        <v>-5.4600000000000003E-2</v>
      </c>
      <c r="Q524">
        <f t="shared" si="43"/>
        <v>-2.1400000000000002E-2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4"/>
        <v>7.0346088750003546E-2</v>
      </c>
      <c r="N525">
        <f t="shared" si="41"/>
        <v>4.1799999999999997E-2</v>
      </c>
      <c r="P525">
        <f t="shared" si="42"/>
        <v>7.1999999999999995E-2</v>
      </c>
      <c r="Q525">
        <f t="shared" si="43"/>
        <v>-5.0000000000000001E-3</v>
      </c>
    </row>
    <row r="526" spans="1:17">
      <c r="A526">
        <v>197008</v>
      </c>
      <c r="B526">
        <v>5.0200000000000002E-2</v>
      </c>
      <c r="C526">
        <v>1.5300000000000001E-2</v>
      </c>
      <c r="D526">
        <v>2.0400000000000001E-2</v>
      </c>
      <c r="K526">
        <f t="shared" si="40"/>
        <v>5.5260968424989121E-2</v>
      </c>
      <c r="L526">
        <f t="shared" si="44"/>
        <v>5.2760968424989119E-2</v>
      </c>
      <c r="N526">
        <f t="shared" si="41"/>
        <v>1.7900000000000003E-2</v>
      </c>
      <c r="P526">
        <f t="shared" si="42"/>
        <v>4.7699999999999999E-2</v>
      </c>
      <c r="Q526">
        <f t="shared" si="43"/>
        <v>1.5300000000000001E-2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4.1100000000000005E-2</v>
      </c>
      <c r="K527">
        <f t="shared" si="40"/>
        <v>7.56141952749389E-2</v>
      </c>
      <c r="L527">
        <f t="shared" si="44"/>
        <v>7.3114195274938898E-2</v>
      </c>
      <c r="N527">
        <f t="shared" si="41"/>
        <v>3.8600000000000002E-2</v>
      </c>
      <c r="P527">
        <f t="shared" si="42"/>
        <v>4.4699999999999997E-2</v>
      </c>
      <c r="Q527">
        <f t="shared" si="43"/>
        <v>8.5900000000000004E-2</v>
      </c>
    </row>
    <row r="528" spans="1:17">
      <c r="A528">
        <v>197010</v>
      </c>
      <c r="B528">
        <v>-1.8199999999999997E-2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4"/>
        <v>-3.4659010949969989E-2</v>
      </c>
      <c r="N528">
        <f t="shared" si="41"/>
        <v>-1.5300000000000001E-2</v>
      </c>
      <c r="P528">
        <f t="shared" si="42"/>
        <v>-2.0699999999999996E-2</v>
      </c>
      <c r="Q528">
        <f t="shared" si="43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5.5700000000000006E-2</v>
      </c>
      <c r="K529">
        <f t="shared" si="40"/>
        <v>3.756717935002802E-2</v>
      </c>
      <c r="L529">
        <f t="shared" si="44"/>
        <v>3.5067179350028017E-2</v>
      </c>
      <c r="N529">
        <f t="shared" si="41"/>
        <v>5.3200000000000004E-2</v>
      </c>
      <c r="P529">
        <f t="shared" si="42"/>
        <v>4.8099999999999997E-2</v>
      </c>
      <c r="Q529">
        <f t="shared" si="43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4"/>
        <v>6.8558841699979237E-2</v>
      </c>
      <c r="N530">
        <f t="shared" si="41"/>
        <v>3.2000000000000001E-2</v>
      </c>
      <c r="P530">
        <f t="shared" si="42"/>
        <v>5.8900000000000001E-2</v>
      </c>
      <c r="Q530">
        <f t="shared" si="43"/>
        <v>2.92E-2</v>
      </c>
    </row>
    <row r="531" spans="1:17">
      <c r="A531">
        <v>197101</v>
      </c>
      <c r="B531">
        <v>5.2199999999999996E-2</v>
      </c>
      <c r="C531">
        <v>7.3800000000000004E-2</v>
      </c>
      <c r="D531">
        <v>2.0499999999999997E-2</v>
      </c>
      <c r="K531">
        <f t="shared" si="40"/>
        <v>7.6611730049947507E-2</v>
      </c>
      <c r="L531">
        <f t="shared" si="44"/>
        <v>7.4111730049947505E-2</v>
      </c>
      <c r="N531">
        <f t="shared" si="41"/>
        <v>1.7999999999999999E-2</v>
      </c>
      <c r="P531">
        <f t="shared" si="42"/>
        <v>4.9699999999999994E-2</v>
      </c>
      <c r="Q531">
        <f t="shared" si="43"/>
        <v>7.3800000000000004E-2</v>
      </c>
    </row>
    <row r="532" spans="1:17">
      <c r="A532">
        <v>197102</v>
      </c>
      <c r="B532">
        <v>1.7399999999999999E-2</v>
      </c>
      <c r="C532">
        <v>1.8600000000000002E-2</v>
      </c>
      <c r="D532">
        <v>3.9900000000000005E-2</v>
      </c>
      <c r="K532">
        <f t="shared" si="40"/>
        <v>2.3552549849986771E-2</v>
      </c>
      <c r="L532">
        <f t="shared" si="44"/>
        <v>2.1052549849986772E-2</v>
      </c>
      <c r="N532">
        <f t="shared" si="41"/>
        <v>3.7400000000000003E-2</v>
      </c>
      <c r="P532">
        <f t="shared" si="42"/>
        <v>1.4899999999999998E-2</v>
      </c>
      <c r="Q532">
        <f t="shared" si="43"/>
        <v>1.8600000000000002E-2</v>
      </c>
    </row>
    <row r="533" spans="1:17">
      <c r="A533">
        <v>197103</v>
      </c>
      <c r="B533">
        <v>4.4299999999999999E-2</v>
      </c>
      <c r="C533">
        <v>2.6099999999999998E-2</v>
      </c>
      <c r="D533">
        <v>5.1799999999999999E-2</v>
      </c>
      <c r="K533">
        <f t="shared" si="40"/>
        <v>5.2933416724981433E-2</v>
      </c>
      <c r="L533">
        <f t="shared" si="44"/>
        <v>5.0433416724981431E-2</v>
      </c>
      <c r="N533">
        <f t="shared" si="41"/>
        <v>4.9299999999999997E-2</v>
      </c>
      <c r="P533">
        <f t="shared" si="42"/>
        <v>4.1799999999999997E-2</v>
      </c>
      <c r="Q533">
        <f t="shared" si="43"/>
        <v>2.6099999999999998E-2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4"/>
        <v>3.0212245200003412E-2</v>
      </c>
      <c r="N534">
        <f t="shared" si="41"/>
        <v>4.7199999999999999E-2</v>
      </c>
      <c r="P534">
        <f t="shared" si="42"/>
        <v>3.1799999999999995E-2</v>
      </c>
      <c r="Q534">
        <f t="shared" si="43"/>
        <v>-4.7999999999999996E-3</v>
      </c>
    </row>
    <row r="535" spans="1:17">
      <c r="A535">
        <v>197105</v>
      </c>
      <c r="B535">
        <v>-3.6900000000000002E-2</v>
      </c>
      <c r="C535">
        <v>-1.0400000000000001E-2</v>
      </c>
      <c r="D535">
        <v>-2.9600000000000001E-2</v>
      </c>
      <c r="K535">
        <f t="shared" si="40"/>
        <v>-4.0340135399992608E-2</v>
      </c>
      <c r="L535">
        <f t="shared" si="44"/>
        <v>-4.284013539999261E-2</v>
      </c>
      <c r="N535">
        <f t="shared" si="41"/>
        <v>-3.2100000000000004E-2</v>
      </c>
      <c r="P535">
        <f t="shared" si="42"/>
        <v>-3.9400000000000004E-2</v>
      </c>
      <c r="Q535">
        <f t="shared" si="43"/>
        <v>-1.0400000000000001E-2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4"/>
        <v>-4.6955772999894736E-3</v>
      </c>
      <c r="N536">
        <f t="shared" si="41"/>
        <v>2.4E-2</v>
      </c>
      <c r="P536">
        <f t="shared" si="42"/>
        <v>2.0000000000000009E-4</v>
      </c>
      <c r="Q536">
        <f t="shared" si="43"/>
        <v>-1.4800000000000001E-2</v>
      </c>
    </row>
    <row r="537" spans="1:17">
      <c r="A537">
        <v>197107</v>
      </c>
      <c r="B537">
        <v>-4.0999999999999995E-2</v>
      </c>
      <c r="C537">
        <v>-1.5100000000000001E-2</v>
      </c>
      <c r="D537">
        <v>-6.2400000000000004E-2</v>
      </c>
      <c r="K537">
        <f t="shared" si="40"/>
        <v>-4.5994811974989253E-2</v>
      </c>
      <c r="L537">
        <f t="shared" si="44"/>
        <v>-4.8494811974989255E-2</v>
      </c>
      <c r="N537">
        <f t="shared" si="41"/>
        <v>-6.4899999999999999E-2</v>
      </c>
      <c r="P537">
        <f t="shared" si="42"/>
        <v>-4.3499999999999997E-2</v>
      </c>
      <c r="Q537">
        <f t="shared" si="43"/>
        <v>-1.5100000000000001E-2</v>
      </c>
    </row>
    <row r="538" spans="1:17">
      <c r="A538">
        <v>197108</v>
      </c>
      <c r="B538">
        <v>4.2600000000000006E-2</v>
      </c>
      <c r="C538">
        <v>-1.5E-3</v>
      </c>
      <c r="D538">
        <v>8.8100000000000012E-2</v>
      </c>
      <c r="K538">
        <f t="shared" si="40"/>
        <v>4.2103826625001076E-2</v>
      </c>
      <c r="L538">
        <f t="shared" si="44"/>
        <v>3.9603826625001073E-2</v>
      </c>
      <c r="N538">
        <f t="shared" si="41"/>
        <v>8.5600000000000009E-2</v>
      </c>
      <c r="P538">
        <f t="shared" si="42"/>
        <v>4.0100000000000004E-2</v>
      </c>
      <c r="Q538">
        <f t="shared" si="43"/>
        <v>-1.5E-3</v>
      </c>
    </row>
    <row r="539" spans="1:17">
      <c r="A539">
        <v>197109</v>
      </c>
      <c r="B539">
        <v>-4.8000000000000004E-3</v>
      </c>
      <c r="C539">
        <v>5.1000000000000004E-3</v>
      </c>
      <c r="D539">
        <v>4.8999999999999998E-3</v>
      </c>
      <c r="K539">
        <f t="shared" si="40"/>
        <v>-3.1130105250036276E-3</v>
      </c>
      <c r="L539">
        <f t="shared" si="44"/>
        <v>-5.6130105250036273E-3</v>
      </c>
      <c r="N539">
        <f t="shared" si="41"/>
        <v>2.3999999999999998E-3</v>
      </c>
      <c r="P539">
        <f t="shared" si="42"/>
        <v>-7.3000000000000009E-3</v>
      </c>
      <c r="Q539">
        <f t="shared" si="43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-4.1100000000000005E-2</v>
      </c>
      <c r="K540">
        <f t="shared" si="40"/>
        <v>-4.6255611149987629E-2</v>
      </c>
      <c r="L540">
        <f t="shared" si="44"/>
        <v>-4.8755611149987631E-2</v>
      </c>
      <c r="N540">
        <f t="shared" si="41"/>
        <v>-4.3600000000000007E-2</v>
      </c>
      <c r="P540">
        <f t="shared" si="42"/>
        <v>-4.3000000000000003E-2</v>
      </c>
      <c r="Q540">
        <f t="shared" si="43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4"/>
        <v>-1.2595746549980228E-2</v>
      </c>
      <c r="N541">
        <f t="shared" si="41"/>
        <v>7.1999999999999998E-3</v>
      </c>
      <c r="P541">
        <f t="shared" si="42"/>
        <v>-3.3999999999999998E-3</v>
      </c>
      <c r="Q541">
        <f t="shared" si="43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0.10800000000000001</v>
      </c>
      <c r="K542">
        <f t="shared" si="40"/>
        <v>0.10158350134997682</v>
      </c>
      <c r="L542">
        <f t="shared" si="44"/>
        <v>9.9083501349976816E-2</v>
      </c>
      <c r="N542">
        <f t="shared" si="41"/>
        <v>0.10550000000000001</v>
      </c>
      <c r="P542">
        <f t="shared" si="42"/>
        <v>8.8300000000000003E-2</v>
      </c>
      <c r="Q542">
        <f t="shared" si="43"/>
        <v>3.2599999999999997E-2</v>
      </c>
    </row>
    <row r="543" spans="1:17">
      <c r="A543">
        <v>197201</v>
      </c>
      <c r="B543">
        <v>2.7800000000000002E-2</v>
      </c>
      <c r="C543">
        <v>5.8799999999999998E-2</v>
      </c>
      <c r="D543">
        <v>6.1100000000000002E-2</v>
      </c>
      <c r="K543">
        <f t="shared" si="40"/>
        <v>4.7249996299958186E-2</v>
      </c>
      <c r="L543">
        <f t="shared" si="44"/>
        <v>4.4749996299958184E-2</v>
      </c>
      <c r="N543">
        <f t="shared" si="41"/>
        <v>5.8599999999999999E-2</v>
      </c>
      <c r="P543">
        <f t="shared" si="42"/>
        <v>2.5300000000000003E-2</v>
      </c>
      <c r="Q543">
        <f t="shared" si="43"/>
        <v>5.8799999999999998E-2</v>
      </c>
    </row>
    <row r="544" spans="1:17">
      <c r="A544">
        <v>197202</v>
      </c>
      <c r="B544">
        <v>3.1200000000000002E-2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4"/>
        <v>3.303324747499068E-2</v>
      </c>
      <c r="N544">
        <f t="shared" si="41"/>
        <v>5.4199999999999998E-2</v>
      </c>
      <c r="P544">
        <f t="shared" si="42"/>
        <v>2.8700000000000003E-2</v>
      </c>
      <c r="Q544">
        <f t="shared" si="43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4"/>
        <v>5.6068879250019202E-3</v>
      </c>
      <c r="N545">
        <f t="shared" si="41"/>
        <v>1.06E-2</v>
      </c>
      <c r="P545">
        <f t="shared" si="42"/>
        <v>6.5000000000000006E-3</v>
      </c>
      <c r="Q545">
        <f t="shared" si="43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1.2700000000000001E-2</v>
      </c>
      <c r="K546">
        <f t="shared" si="40"/>
        <v>6.064625799999431E-3</v>
      </c>
      <c r="L546">
        <f t="shared" si="44"/>
        <v>3.5646257999994309E-3</v>
      </c>
      <c r="N546">
        <f t="shared" si="41"/>
        <v>1.0200000000000001E-2</v>
      </c>
      <c r="P546">
        <f t="shared" si="42"/>
        <v>3.2999999999999995E-3</v>
      </c>
      <c r="Q546">
        <f t="shared" si="43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5.4900000000000004E-2</v>
      </c>
      <c r="K547">
        <f t="shared" si="40"/>
        <v>6.4696445750194159E-3</v>
      </c>
      <c r="L547">
        <f t="shared" si="44"/>
        <v>3.9696445750194154E-3</v>
      </c>
      <c r="N547">
        <f t="shared" si="41"/>
        <v>5.2400000000000002E-2</v>
      </c>
      <c r="P547">
        <f t="shared" si="42"/>
        <v>1.2999999999999999E-2</v>
      </c>
      <c r="Q547">
        <f t="shared" si="43"/>
        <v>-2.7300000000000001E-2</v>
      </c>
    </row>
    <row r="548" spans="1:17">
      <c r="A548">
        <v>197206</v>
      </c>
      <c r="B548">
        <v>-2.1400000000000002E-2</v>
      </c>
      <c r="C548">
        <v>2.3999999999999998E-3</v>
      </c>
      <c r="D548">
        <v>5.4000000000000003E-3</v>
      </c>
      <c r="K548">
        <f t="shared" si="40"/>
        <v>-2.0606122600001709E-2</v>
      </c>
      <c r="L548">
        <f t="shared" si="44"/>
        <v>-2.3106122600001708E-2</v>
      </c>
      <c r="N548">
        <f t="shared" si="41"/>
        <v>2.9000000000000002E-3</v>
      </c>
      <c r="P548">
        <f t="shared" si="42"/>
        <v>-2.3900000000000001E-2</v>
      </c>
      <c r="Q548">
        <f t="shared" si="43"/>
        <v>2.3999999999999998E-3</v>
      </c>
    </row>
    <row r="549" spans="1:17">
      <c r="A549">
        <v>197207</v>
      </c>
      <c r="B549">
        <v>-4.8999999999999998E-3</v>
      </c>
      <c r="C549">
        <v>-2.8700000000000003E-2</v>
      </c>
      <c r="D549">
        <v>-2.6000000000000003E-3</v>
      </c>
      <c r="K549">
        <f t="shared" si="40"/>
        <v>-1.4393450574979589E-2</v>
      </c>
      <c r="L549">
        <f t="shared" si="44"/>
        <v>-1.6893450574979589E-2</v>
      </c>
      <c r="N549">
        <f t="shared" si="41"/>
        <v>-5.1000000000000004E-3</v>
      </c>
      <c r="P549">
        <f t="shared" si="42"/>
        <v>-7.4000000000000003E-3</v>
      </c>
      <c r="Q549">
        <f t="shared" si="43"/>
        <v>-2.8700000000000003E-2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-1.5500000000000002E-2</v>
      </c>
      <c r="K550">
        <f t="shared" si="40"/>
        <v>2.2169475325028658E-2</v>
      </c>
      <c r="L550">
        <f t="shared" si="44"/>
        <v>1.9669475325028659E-2</v>
      </c>
      <c r="N550">
        <f t="shared" si="41"/>
        <v>-1.8000000000000002E-2</v>
      </c>
      <c r="P550">
        <f t="shared" si="42"/>
        <v>3.2999999999999995E-2</v>
      </c>
      <c r="Q550">
        <f t="shared" si="43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4"/>
        <v>-1.9265729624981149E-2</v>
      </c>
      <c r="N551">
        <f t="shared" si="41"/>
        <v>2.6000000000000003E-3</v>
      </c>
      <c r="P551">
        <f t="shared" si="42"/>
        <v>-1.0499999999999999E-2</v>
      </c>
      <c r="Q551">
        <f t="shared" si="43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4"/>
        <v>-2.3303554249805842E-3</v>
      </c>
      <c r="N552">
        <f t="shared" si="41"/>
        <v>1.4899999999999998E-2</v>
      </c>
      <c r="P552">
        <f t="shared" si="42"/>
        <v>6.6999999999999994E-3</v>
      </c>
      <c r="Q552">
        <f t="shared" si="43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4"/>
        <v>4.3230613000008536E-2</v>
      </c>
      <c r="N553">
        <f t="shared" si="41"/>
        <v>1.29E-2</v>
      </c>
      <c r="P553">
        <f t="shared" si="42"/>
        <v>4.7199999999999999E-2</v>
      </c>
      <c r="Q553">
        <f t="shared" si="43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4"/>
        <v>9.4974612501386732E-4</v>
      </c>
      <c r="N554">
        <f t="shared" si="41"/>
        <v>5.0999999999999997E-2</v>
      </c>
      <c r="P554">
        <f t="shared" si="42"/>
        <v>7.3999999999999986E-3</v>
      </c>
      <c r="Q554">
        <f t="shared" si="43"/>
        <v>-1.95E-2</v>
      </c>
    </row>
    <row r="555" spans="1:17">
      <c r="A555">
        <v>197301</v>
      </c>
      <c r="B555">
        <v>-2.8499999999999998E-2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4"/>
        <v>-4.2544300524975182E-2</v>
      </c>
      <c r="N555">
        <f t="shared" si="41"/>
        <v>-3.1300000000000001E-2</v>
      </c>
      <c r="P555">
        <f t="shared" si="42"/>
        <v>-3.0999999999999996E-2</v>
      </c>
      <c r="Q555">
        <f t="shared" si="43"/>
        <v>-3.49E-2</v>
      </c>
    </row>
    <row r="556" spans="1:17">
      <c r="A556">
        <v>197302</v>
      </c>
      <c r="B556">
        <v>-4.4399999999999995E-2</v>
      </c>
      <c r="C556">
        <v>-3.8700000000000005E-2</v>
      </c>
      <c r="D556">
        <v>-5.1100000000000007E-2</v>
      </c>
      <c r="K556">
        <f t="shared" si="40"/>
        <v>-5.720127307497247E-2</v>
      </c>
      <c r="L556">
        <f t="shared" si="44"/>
        <v>-5.9701273074972472E-2</v>
      </c>
      <c r="N556">
        <f t="shared" si="41"/>
        <v>-5.3600000000000009E-2</v>
      </c>
      <c r="P556">
        <f t="shared" si="42"/>
        <v>-4.6899999999999997E-2</v>
      </c>
      <c r="Q556">
        <f t="shared" si="43"/>
        <v>-3.8700000000000005E-2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4"/>
        <v>-2.0228059449979945E-2</v>
      </c>
      <c r="N557">
        <f t="shared" si="41"/>
        <v>1.5399999999999999E-2</v>
      </c>
      <c r="P557">
        <f t="shared" si="42"/>
        <v>-1.0900000000000002E-2</v>
      </c>
      <c r="Q557">
        <f t="shared" si="43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4"/>
        <v>-6.6835116624972615E-2</v>
      </c>
      <c r="N558">
        <f t="shared" si="41"/>
        <v>-3.3300000000000003E-2</v>
      </c>
      <c r="P558">
        <f t="shared" si="42"/>
        <v>-5.4099999999999995E-2</v>
      </c>
      <c r="Q558">
        <f t="shared" si="43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4"/>
        <v>-4.7639281749955194E-2</v>
      </c>
      <c r="N559">
        <f t="shared" si="41"/>
        <v>-4.5999999999999999E-3</v>
      </c>
      <c r="P559">
        <f t="shared" si="42"/>
        <v>-2.6799999999999997E-2</v>
      </c>
      <c r="Q559">
        <f t="shared" si="43"/>
        <v>-6.3E-2</v>
      </c>
    </row>
    <row r="560" spans="1:17">
      <c r="A560">
        <v>197306</v>
      </c>
      <c r="B560">
        <v>-1.0600000000000002E-2</v>
      </c>
      <c r="C560">
        <v>-2.8500000000000001E-2</v>
      </c>
      <c r="D560">
        <v>7.3000000000000001E-3</v>
      </c>
      <c r="K560">
        <f t="shared" si="40"/>
        <v>-2.0027294124979732E-2</v>
      </c>
      <c r="L560">
        <f t="shared" si="44"/>
        <v>-2.2527294124979731E-2</v>
      </c>
      <c r="N560">
        <f t="shared" si="41"/>
        <v>4.8000000000000004E-3</v>
      </c>
      <c r="P560">
        <f t="shared" si="42"/>
        <v>-1.3100000000000002E-2</v>
      </c>
      <c r="Q560">
        <f t="shared" si="43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2.4300000000000002E-2</v>
      </c>
      <c r="K561">
        <f t="shared" si="40"/>
        <v>8.3263345324943311E-2</v>
      </c>
      <c r="L561">
        <f t="shared" si="44"/>
        <v>8.0763345324943309E-2</v>
      </c>
      <c r="N561">
        <f t="shared" si="41"/>
        <v>2.1800000000000003E-2</v>
      </c>
      <c r="P561">
        <f t="shared" si="42"/>
        <v>5.4399999999999997E-2</v>
      </c>
      <c r="Q561">
        <f t="shared" si="43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-2.8700000000000003E-2</v>
      </c>
      <c r="K562">
        <f t="shared" si="40"/>
        <v>-3.7881801449985632E-2</v>
      </c>
      <c r="L562">
        <f t="shared" si="44"/>
        <v>-4.0381801449985634E-2</v>
      </c>
      <c r="N562">
        <f t="shared" si="41"/>
        <v>-3.1200000000000002E-2</v>
      </c>
      <c r="P562">
        <f t="shared" si="42"/>
        <v>-3.3700000000000001E-2</v>
      </c>
      <c r="Q562">
        <f t="shared" si="43"/>
        <v>-2.0199999999999999E-2</v>
      </c>
    </row>
    <row r="563" spans="1:17">
      <c r="A563">
        <v>197309</v>
      </c>
      <c r="B563">
        <v>5.4300000000000001E-2</v>
      </c>
      <c r="C563">
        <v>2.9300000000000003E-2</v>
      </c>
      <c r="D563">
        <v>5.2699999999999997E-2</v>
      </c>
      <c r="K563">
        <f t="shared" si="40"/>
        <v>6.3991919924979157E-2</v>
      </c>
      <c r="L563">
        <f t="shared" si="44"/>
        <v>6.1491919924979155E-2</v>
      </c>
      <c r="N563">
        <f t="shared" si="41"/>
        <v>5.0199999999999995E-2</v>
      </c>
      <c r="P563">
        <f t="shared" si="42"/>
        <v>5.1799999999999999E-2</v>
      </c>
      <c r="Q563">
        <f t="shared" si="43"/>
        <v>2.9300000000000003E-2</v>
      </c>
    </row>
    <row r="564" spans="1:17">
      <c r="A564">
        <v>197310</v>
      </c>
      <c r="B564">
        <v>-1.7999999999999995E-3</v>
      </c>
      <c r="C564">
        <v>-2.8000000000000004E-3</v>
      </c>
      <c r="D564">
        <v>4.0500000000000001E-2</v>
      </c>
      <c r="K564">
        <f t="shared" si="40"/>
        <v>-2.7261902999980081E-3</v>
      </c>
      <c r="L564">
        <f t="shared" si="44"/>
        <v>-5.2261902999980077E-3</v>
      </c>
      <c r="N564">
        <f t="shared" si="41"/>
        <v>3.7999999999999999E-2</v>
      </c>
      <c r="P564">
        <f t="shared" si="42"/>
        <v>-4.3E-3</v>
      </c>
      <c r="Q564">
        <f t="shared" si="43"/>
        <v>-2.8000000000000004E-3</v>
      </c>
    </row>
    <row r="565" spans="1:17">
      <c r="A565">
        <v>197311</v>
      </c>
      <c r="B565">
        <v>-0.12190000000000001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4"/>
        <v>-0.14993638969994511</v>
      </c>
      <c r="N565">
        <f t="shared" si="41"/>
        <v>-9.5199999999999993E-2</v>
      </c>
      <c r="P565">
        <f t="shared" si="42"/>
        <v>-0.12440000000000001</v>
      </c>
      <c r="Q565">
        <f t="shared" si="43"/>
        <v>-7.7200000000000005E-2</v>
      </c>
    </row>
    <row r="566" spans="1:17">
      <c r="A566">
        <v>197312</v>
      </c>
      <c r="B566">
        <v>1.2500000000000001E-2</v>
      </c>
      <c r="C566">
        <v>-5.3700000000000005E-2</v>
      </c>
      <c r="D566">
        <v>7.7600000000000002E-2</v>
      </c>
      <c r="K566">
        <f t="shared" si="40"/>
        <v>-5.2630068249618078E-3</v>
      </c>
      <c r="L566">
        <f t="shared" si="44"/>
        <v>-7.7630068249618083E-3</v>
      </c>
      <c r="N566">
        <f t="shared" si="41"/>
        <v>7.51E-2</v>
      </c>
      <c r="P566">
        <f t="shared" si="42"/>
        <v>0.01</v>
      </c>
      <c r="Q566">
        <f t="shared" si="43"/>
        <v>-5.3700000000000005E-2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4"/>
        <v>3.4252034699930871E-2</v>
      </c>
      <c r="N567">
        <f t="shared" si="41"/>
        <v>-6.2899999999999998E-2</v>
      </c>
      <c r="P567">
        <f t="shared" si="42"/>
        <v>2.0999999999999999E-3</v>
      </c>
      <c r="Q567">
        <f t="shared" si="43"/>
        <v>9.7200000000000009E-2</v>
      </c>
    </row>
    <row r="568" spans="1:17">
      <c r="A568">
        <v>197402</v>
      </c>
      <c r="B568">
        <v>1.0999999999999994E-3</v>
      </c>
      <c r="C568">
        <v>-2.0000000000000001E-4</v>
      </c>
      <c r="D568">
        <v>1.7399999999999999E-2</v>
      </c>
      <c r="K568">
        <f t="shared" si="40"/>
        <v>1.0338435500001416E-3</v>
      </c>
      <c r="L568">
        <f t="shared" si="44"/>
        <v>-1.4661564499998585E-3</v>
      </c>
      <c r="N568">
        <f t="shared" si="41"/>
        <v>1.4899999999999998E-2</v>
      </c>
      <c r="P568">
        <f t="shared" si="42"/>
        <v>-1.4000000000000006E-3</v>
      </c>
      <c r="Q568">
        <f t="shared" si="43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4"/>
        <v>-1.6730443750017778E-2</v>
      </c>
      <c r="N569">
        <f t="shared" si="41"/>
        <v>-4.8899999999999999E-2</v>
      </c>
      <c r="P569">
        <f t="shared" si="42"/>
        <v>-2.4999999999999998E-2</v>
      </c>
      <c r="Q569">
        <f t="shared" si="43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-4.1299999999999996E-2</v>
      </c>
      <c r="K570">
        <f t="shared" si="40"/>
        <v>-4.7847788649994741E-2</v>
      </c>
      <c r="L570">
        <f t="shared" si="44"/>
        <v>-5.0347788649994743E-2</v>
      </c>
      <c r="N570">
        <f t="shared" si="41"/>
        <v>-4.3799999999999999E-2</v>
      </c>
      <c r="P570">
        <f t="shared" si="42"/>
        <v>-4.7900000000000005E-2</v>
      </c>
      <c r="Q570">
        <f t="shared" si="43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4"/>
        <v>-5.1591154599978956E-2</v>
      </c>
      <c r="N571">
        <f t="shared" si="41"/>
        <v>-9.0299999999999991E-2</v>
      </c>
      <c r="P571">
        <f t="shared" si="42"/>
        <v>-4.1800000000000004E-2</v>
      </c>
      <c r="Q571">
        <f t="shared" si="43"/>
        <v>-2.9600000000000001E-2</v>
      </c>
    </row>
    <row r="572" spans="1:17">
      <c r="A572">
        <v>197406</v>
      </c>
      <c r="B572">
        <v>-2.23E-2</v>
      </c>
      <c r="C572">
        <v>-1.7000000000000001E-3</v>
      </c>
      <c r="D572">
        <v>-1.41E-2</v>
      </c>
      <c r="K572">
        <f t="shared" si="40"/>
        <v>-2.2862329824998792E-2</v>
      </c>
      <c r="L572">
        <f t="shared" si="44"/>
        <v>-2.5362329824998791E-2</v>
      </c>
      <c r="N572">
        <f t="shared" si="41"/>
        <v>-1.66E-2</v>
      </c>
      <c r="P572">
        <f t="shared" si="42"/>
        <v>-2.4799999999999999E-2</v>
      </c>
      <c r="Q572">
        <f t="shared" si="43"/>
        <v>-1.7000000000000001E-3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4"/>
        <v>-7.322142910000598E-2</v>
      </c>
      <c r="N573">
        <f t="shared" si="41"/>
        <v>-3.8800000000000001E-2</v>
      </c>
      <c r="P573">
        <f t="shared" si="42"/>
        <v>-7.6000000000000012E-2</v>
      </c>
      <c r="Q573">
        <f t="shared" si="43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4"/>
        <v>-9.2381632199994873E-2</v>
      </c>
      <c r="N574">
        <f t="shared" si="41"/>
        <v>-9.0900000000000009E-2</v>
      </c>
      <c r="P574">
        <f t="shared" si="42"/>
        <v>-0.09</v>
      </c>
      <c r="Q574">
        <f t="shared" si="43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4"/>
        <v>-0.11120688792500193</v>
      </c>
      <c r="N575">
        <f t="shared" si="41"/>
        <v>-9.2700000000000005E-2</v>
      </c>
      <c r="P575">
        <f t="shared" si="42"/>
        <v>-0.11210000000000001</v>
      </c>
      <c r="Q575">
        <f t="shared" si="43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4"/>
        <v>0.1521549341500246</v>
      </c>
      <c r="N576">
        <f t="shared" si="41"/>
        <v>0.20149999999999998</v>
      </c>
      <c r="P576">
        <f t="shared" si="42"/>
        <v>0.1636</v>
      </c>
      <c r="Q576">
        <f t="shared" si="43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4"/>
        <v>-4.6235543449991326E-2</v>
      </c>
      <c r="N577">
        <f t="shared" si="41"/>
        <v>-3.9900000000000005E-2</v>
      </c>
      <c r="P577">
        <f t="shared" si="42"/>
        <v>-4.2200000000000001E-2</v>
      </c>
      <c r="Q577">
        <f t="shared" si="43"/>
        <v>-1.2200000000000001E-2</v>
      </c>
    </row>
    <row r="578" spans="1:17">
      <c r="A578">
        <v>197412</v>
      </c>
      <c r="B578">
        <v>-2.7500000000000004E-2</v>
      </c>
      <c r="C578">
        <v>-4.8300000000000003E-2</v>
      </c>
      <c r="D578">
        <v>-3.4799999999999998E-2</v>
      </c>
      <c r="K578">
        <f t="shared" si="40"/>
        <v>-4.3476782674965658E-2</v>
      </c>
      <c r="L578">
        <f t="shared" si="44"/>
        <v>-4.5976782674965661E-2</v>
      </c>
      <c r="N578">
        <f t="shared" si="41"/>
        <v>-3.73E-2</v>
      </c>
      <c r="P578">
        <f t="shared" si="42"/>
        <v>-3.0000000000000002E-2</v>
      </c>
      <c r="Q578">
        <f t="shared" si="43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0.11460000000000001</v>
      </c>
      <c r="K579">
        <f t="shared" ref="K579:K642" si="45">SUMPRODUCT($G$12:$H$12,B579:C579)</f>
        <v>0.17928222087492068</v>
      </c>
      <c r="L579">
        <f t="shared" si="44"/>
        <v>0.17678222087492068</v>
      </c>
      <c r="N579">
        <f t="shared" ref="N579:N642" si="46">D579-$I$7</f>
        <v>0.11210000000000001</v>
      </c>
      <c r="P579">
        <f t="shared" ref="P579:P642" si="47">B579-0.0025</f>
        <v>0.1399</v>
      </c>
      <c r="Q579">
        <f t="shared" ref="Q579:Q642" si="48">C579</f>
        <v>0.1115</v>
      </c>
    </row>
    <row r="580" spans="1:17">
      <c r="A580">
        <v>197502</v>
      </c>
      <c r="B580">
        <v>5.9899999999999995E-2</v>
      </c>
      <c r="C580">
        <v>1.6000000000000001E-3</v>
      </c>
      <c r="D580">
        <v>4.0500000000000001E-2</v>
      </c>
      <c r="K580">
        <f t="shared" si="45"/>
        <v>6.0429251599998859E-2</v>
      </c>
      <c r="L580">
        <f t="shared" ref="L580:L643" si="49">K580-$I$7</f>
        <v>5.7929251599998857E-2</v>
      </c>
      <c r="N580">
        <f t="shared" si="46"/>
        <v>3.7999999999999999E-2</v>
      </c>
      <c r="P580">
        <f t="shared" si="47"/>
        <v>5.7399999999999993E-2</v>
      </c>
      <c r="Q580">
        <f t="shared" si="48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9"/>
        <v>4.0703569049973118E-2</v>
      </c>
      <c r="N581">
        <f t="shared" si="46"/>
        <v>6.8900000000000003E-2</v>
      </c>
      <c r="P581">
        <f t="shared" si="47"/>
        <v>2.8200000000000003E-2</v>
      </c>
      <c r="Q581">
        <f t="shared" si="48"/>
        <v>3.78E-2</v>
      </c>
    </row>
    <row r="582" spans="1:17">
      <c r="A582">
        <v>197504</v>
      </c>
      <c r="B582">
        <v>4.6700000000000005E-2</v>
      </c>
      <c r="C582">
        <v>-6.6000000000000008E-3</v>
      </c>
      <c r="D582">
        <v>7.7100000000000002E-2</v>
      </c>
      <c r="K582">
        <f t="shared" si="45"/>
        <v>4.45168371500047E-2</v>
      </c>
      <c r="L582">
        <f t="shared" si="49"/>
        <v>4.2016837150004697E-2</v>
      </c>
      <c r="N582">
        <f t="shared" si="46"/>
        <v>7.46E-2</v>
      </c>
      <c r="P582">
        <f t="shared" si="47"/>
        <v>4.4200000000000003E-2</v>
      </c>
      <c r="Q582">
        <f t="shared" si="48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4.9400000000000006E-2</v>
      </c>
      <c r="K583">
        <f t="shared" si="45"/>
        <v>6.9002038399972696E-2</v>
      </c>
      <c r="L583">
        <f t="shared" si="49"/>
        <v>6.6502038399972693E-2</v>
      </c>
      <c r="N583">
        <f t="shared" si="46"/>
        <v>4.6900000000000004E-2</v>
      </c>
      <c r="P583">
        <f t="shared" si="47"/>
        <v>5.3800000000000001E-2</v>
      </c>
      <c r="Q583">
        <f t="shared" si="48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9"/>
        <v>5.2744727349993886E-2</v>
      </c>
      <c r="N584">
        <f t="shared" si="46"/>
        <v>5.33E-2</v>
      </c>
      <c r="P584">
        <f t="shared" si="47"/>
        <v>4.99E-2</v>
      </c>
      <c r="Q584">
        <f t="shared" si="48"/>
        <v>8.6E-3</v>
      </c>
    </row>
    <row r="585" spans="1:17">
      <c r="A585">
        <v>197507</v>
      </c>
      <c r="B585">
        <v>-6.1100000000000002E-2</v>
      </c>
      <c r="C585">
        <v>2.7000000000000003E-2</v>
      </c>
      <c r="D585">
        <v>-4.0800000000000003E-2</v>
      </c>
      <c r="K585">
        <f t="shared" si="45"/>
        <v>-5.2168879250019201E-2</v>
      </c>
      <c r="L585">
        <f t="shared" si="49"/>
        <v>-5.4668879250019203E-2</v>
      </c>
      <c r="N585">
        <f t="shared" si="46"/>
        <v>-4.3300000000000005E-2</v>
      </c>
      <c r="P585">
        <f t="shared" si="47"/>
        <v>-6.3600000000000004E-2</v>
      </c>
      <c r="Q585">
        <f t="shared" si="48"/>
        <v>2.7000000000000003E-2</v>
      </c>
    </row>
    <row r="586" spans="1:17">
      <c r="A586">
        <v>197508</v>
      </c>
      <c r="B586">
        <v>-2.3700000000000002E-2</v>
      </c>
      <c r="C586">
        <v>-3.2400000000000005E-2</v>
      </c>
      <c r="D586">
        <v>-2.5499999999999998E-2</v>
      </c>
      <c r="K586">
        <f t="shared" si="45"/>
        <v>-3.4417344899976957E-2</v>
      </c>
      <c r="L586">
        <f t="shared" si="49"/>
        <v>-3.6917344899976959E-2</v>
      </c>
      <c r="N586">
        <f t="shared" si="46"/>
        <v>-2.7999999999999997E-2</v>
      </c>
      <c r="P586">
        <f t="shared" si="47"/>
        <v>-2.6200000000000001E-2</v>
      </c>
      <c r="Q586">
        <f t="shared" si="48"/>
        <v>-3.2400000000000005E-2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9"/>
        <v>-4.0130782249999289E-2</v>
      </c>
      <c r="N587">
        <f t="shared" si="46"/>
        <v>-2.0399999999999998E-2</v>
      </c>
      <c r="P587">
        <f t="shared" si="47"/>
        <v>-3.9800000000000002E-2</v>
      </c>
      <c r="Q587">
        <f t="shared" si="48"/>
        <v>-1E-3</v>
      </c>
    </row>
    <row r="588" spans="1:17">
      <c r="A588">
        <v>197510</v>
      </c>
      <c r="B588">
        <v>5.8699999999999995E-2</v>
      </c>
      <c r="C588">
        <v>-4.0099999999999997E-2</v>
      </c>
      <c r="D588">
        <v>2.9700000000000004E-2</v>
      </c>
      <c r="K588">
        <f t="shared" si="45"/>
        <v>4.5435631775028518E-2</v>
      </c>
      <c r="L588">
        <f t="shared" si="49"/>
        <v>4.2935631775028515E-2</v>
      </c>
      <c r="N588">
        <f t="shared" si="46"/>
        <v>2.7200000000000005E-2</v>
      </c>
      <c r="P588">
        <f t="shared" si="47"/>
        <v>5.6199999999999993E-2</v>
      </c>
      <c r="Q588">
        <f t="shared" si="48"/>
        <v>-4.0099999999999997E-2</v>
      </c>
    </row>
    <row r="589" spans="1:17">
      <c r="A589">
        <v>197511</v>
      </c>
      <c r="B589">
        <v>3.0500000000000003E-2</v>
      </c>
      <c r="C589">
        <v>-1.21E-2</v>
      </c>
      <c r="D589">
        <v>1.61E-2</v>
      </c>
      <c r="K589">
        <f t="shared" si="45"/>
        <v>2.6497534775008609E-2</v>
      </c>
      <c r="L589">
        <f t="shared" si="49"/>
        <v>2.399753477500861E-2</v>
      </c>
      <c r="N589">
        <f t="shared" si="46"/>
        <v>1.3599999999999999E-2</v>
      </c>
      <c r="P589">
        <f t="shared" si="47"/>
        <v>2.8000000000000004E-2</v>
      </c>
      <c r="Q589">
        <f t="shared" si="48"/>
        <v>-1.21E-2</v>
      </c>
    </row>
    <row r="590" spans="1:17">
      <c r="A590">
        <v>197512</v>
      </c>
      <c r="B590">
        <v>-1.1200000000000002E-2</v>
      </c>
      <c r="C590">
        <v>-7.7000000000000002E-3</v>
      </c>
      <c r="D590">
        <v>-1.34E-2</v>
      </c>
      <c r="K590">
        <f t="shared" si="45"/>
        <v>-1.3747023324994525E-2</v>
      </c>
      <c r="L590">
        <f t="shared" si="49"/>
        <v>-1.6247023324994524E-2</v>
      </c>
      <c r="N590">
        <f t="shared" si="46"/>
        <v>-1.5900000000000001E-2</v>
      </c>
      <c r="P590">
        <f t="shared" si="47"/>
        <v>-1.3700000000000002E-2</v>
      </c>
      <c r="Q590">
        <f t="shared" si="48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0.19140000000000001</v>
      </c>
      <c r="K591">
        <f t="shared" si="45"/>
        <v>0.14211139154996599</v>
      </c>
      <c r="L591">
        <f t="shared" si="49"/>
        <v>0.13961139154996599</v>
      </c>
      <c r="N591">
        <f t="shared" si="46"/>
        <v>0.18890000000000001</v>
      </c>
      <c r="P591">
        <f t="shared" si="47"/>
        <v>0.12379999999999999</v>
      </c>
      <c r="Q591">
        <f t="shared" si="48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9"/>
        <v>2.738707039994993E-2</v>
      </c>
      <c r="N592">
        <f t="shared" si="46"/>
        <v>4.9599999999999998E-2</v>
      </c>
      <c r="P592">
        <f t="shared" si="47"/>
        <v>4.0999999999999995E-3</v>
      </c>
      <c r="Q592">
        <f t="shared" si="48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9"/>
        <v>2.0796769450008391E-2</v>
      </c>
      <c r="N593">
        <f t="shared" si="46"/>
        <v>4.8999999999999998E-3</v>
      </c>
      <c r="P593">
        <f t="shared" si="47"/>
        <v>2.47E-2</v>
      </c>
      <c r="Q593">
        <f t="shared" si="48"/>
        <v>-1.18E-2</v>
      </c>
    </row>
    <row r="594" spans="1:17">
      <c r="A594">
        <v>197604</v>
      </c>
      <c r="B594">
        <v>-1.0700000000000001E-2</v>
      </c>
      <c r="C594">
        <v>-1.1000000000000001E-3</v>
      </c>
      <c r="D594">
        <v>-2.5499999999999998E-2</v>
      </c>
      <c r="K594">
        <f t="shared" si="45"/>
        <v>-1.1063860474999219E-2</v>
      </c>
      <c r="L594">
        <f t="shared" si="49"/>
        <v>-1.3563860474999219E-2</v>
      </c>
      <c r="N594">
        <f t="shared" si="46"/>
        <v>-2.7999999999999997E-2</v>
      </c>
      <c r="P594">
        <f t="shared" si="47"/>
        <v>-1.3200000000000002E-2</v>
      </c>
      <c r="Q594">
        <f t="shared" si="48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9"/>
        <v>-1.6268621674991251E-2</v>
      </c>
      <c r="N595">
        <f t="shared" si="46"/>
        <v>-2.9399999999999999E-2</v>
      </c>
      <c r="P595">
        <f t="shared" si="47"/>
        <v>-1.2200000000000001E-2</v>
      </c>
      <c r="Q595">
        <f t="shared" si="48"/>
        <v>-1.23E-2</v>
      </c>
    </row>
    <row r="596" spans="1:17">
      <c r="A596">
        <v>197606</v>
      </c>
      <c r="B596">
        <v>4.48E-2</v>
      </c>
      <c r="C596">
        <v>-1.3000000000000001E-2</v>
      </c>
      <c r="D596">
        <v>4.6399999999999997E-2</v>
      </c>
      <c r="K596">
        <f t="shared" si="45"/>
        <v>4.0499830750009243E-2</v>
      </c>
      <c r="L596">
        <f t="shared" si="49"/>
        <v>3.7999830750009241E-2</v>
      </c>
      <c r="N596">
        <f t="shared" si="46"/>
        <v>4.3899999999999995E-2</v>
      </c>
      <c r="P596">
        <f t="shared" si="47"/>
        <v>4.2299999999999997E-2</v>
      </c>
      <c r="Q596">
        <f t="shared" si="48"/>
        <v>-1.3000000000000001E-2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-1.1399999999999999E-2</v>
      </c>
      <c r="K597">
        <f t="shared" si="45"/>
        <v>-5.0407314750020634E-3</v>
      </c>
      <c r="L597">
        <f t="shared" si="49"/>
        <v>-7.5407314750020639E-3</v>
      </c>
      <c r="N597">
        <f t="shared" si="46"/>
        <v>-1.3899999999999999E-2</v>
      </c>
      <c r="P597">
        <f t="shared" si="47"/>
        <v>-8.5000000000000006E-3</v>
      </c>
      <c r="Q597">
        <f t="shared" si="48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-2.2000000000000002E-2</v>
      </c>
      <c r="K598">
        <f t="shared" si="45"/>
        <v>-8.0156449999857771E-3</v>
      </c>
      <c r="L598">
        <f t="shared" si="49"/>
        <v>-1.0515644999985778E-2</v>
      </c>
      <c r="N598">
        <f t="shared" si="46"/>
        <v>-2.4500000000000001E-2</v>
      </c>
      <c r="P598">
        <f t="shared" si="47"/>
        <v>-3.9000000000000011E-3</v>
      </c>
      <c r="Q598">
        <f t="shared" si="48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9"/>
        <v>2.2533843550000144E-2</v>
      </c>
      <c r="N599">
        <f t="shared" si="46"/>
        <v>2.3700000000000002E-2</v>
      </c>
      <c r="P599">
        <f t="shared" si="47"/>
        <v>2.2600000000000002E-2</v>
      </c>
      <c r="Q599">
        <f t="shared" si="48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-3.4300000000000004E-2</v>
      </c>
      <c r="K600">
        <f t="shared" si="45"/>
        <v>-1.9372279050001565E-2</v>
      </c>
      <c r="L600">
        <f t="shared" si="49"/>
        <v>-2.1872279050001563E-2</v>
      </c>
      <c r="N600">
        <f t="shared" si="46"/>
        <v>-3.6800000000000006E-2</v>
      </c>
      <c r="P600">
        <f t="shared" si="47"/>
        <v>-2.2599999999999999E-2</v>
      </c>
      <c r="Q600">
        <f t="shared" si="48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9"/>
        <v>1.2774148199983499E-2</v>
      </c>
      <c r="N601">
        <f t="shared" si="46"/>
        <v>2.9100000000000004E-2</v>
      </c>
      <c r="P601">
        <f t="shared" si="47"/>
        <v>5.1000000000000004E-3</v>
      </c>
      <c r="Q601">
        <f t="shared" si="48"/>
        <v>2.3199999999999998E-2</v>
      </c>
    </row>
    <row r="602" spans="1:17">
      <c r="A602">
        <v>197612</v>
      </c>
      <c r="B602">
        <v>6.0499999999999998E-2</v>
      </c>
      <c r="C602">
        <v>3.0299999999999997E-2</v>
      </c>
      <c r="D602">
        <v>8.2899999999999988E-2</v>
      </c>
      <c r="K602">
        <f t="shared" si="45"/>
        <v>7.0522702174978441E-2</v>
      </c>
      <c r="L602">
        <f t="shared" si="49"/>
        <v>6.8022702174978439E-2</v>
      </c>
      <c r="N602">
        <f t="shared" si="46"/>
        <v>8.0399999999999985E-2</v>
      </c>
      <c r="P602">
        <f t="shared" si="47"/>
        <v>5.7999999999999996E-2</v>
      </c>
      <c r="Q602">
        <f t="shared" si="48"/>
        <v>3.0299999999999997E-2</v>
      </c>
    </row>
    <row r="603" spans="1:17">
      <c r="A603">
        <v>197701</v>
      </c>
      <c r="B603">
        <v>-3.6900000000000002E-2</v>
      </c>
      <c r="C603">
        <v>4.7599999999999996E-2</v>
      </c>
      <c r="D603">
        <v>2.4900000000000002E-2</v>
      </c>
      <c r="K603">
        <f t="shared" si="45"/>
        <v>-2.1154764900033856E-2</v>
      </c>
      <c r="L603">
        <f t="shared" si="49"/>
        <v>-2.3654764900033855E-2</v>
      </c>
      <c r="N603">
        <f t="shared" si="46"/>
        <v>2.2400000000000003E-2</v>
      </c>
      <c r="P603">
        <f t="shared" si="47"/>
        <v>-3.9400000000000004E-2</v>
      </c>
      <c r="Q603">
        <f t="shared" si="48"/>
        <v>4.7599999999999996E-2</v>
      </c>
    </row>
    <row r="604" spans="1:17">
      <c r="A604">
        <v>197702</v>
      </c>
      <c r="B604">
        <v>-1.5900000000000001E-2</v>
      </c>
      <c r="C604">
        <v>1.0400000000000001E-2</v>
      </c>
      <c r="D604">
        <v>-1.9199999999999998E-2</v>
      </c>
      <c r="K604">
        <f t="shared" si="45"/>
        <v>-1.2459864600007397E-2</v>
      </c>
      <c r="L604">
        <f t="shared" si="49"/>
        <v>-1.4959864600007398E-2</v>
      </c>
      <c r="N604">
        <f t="shared" si="46"/>
        <v>-2.1699999999999997E-2</v>
      </c>
      <c r="P604">
        <f t="shared" si="47"/>
        <v>-1.84E-2</v>
      </c>
      <c r="Q604">
        <f t="shared" si="48"/>
        <v>1.0400000000000001E-2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9"/>
        <v>-9.0921775000071155E-3</v>
      </c>
      <c r="N605">
        <f t="shared" si="46"/>
        <v>-9.4999999999999998E-3</v>
      </c>
      <c r="P605">
        <f t="shared" si="47"/>
        <v>-1.2400000000000003E-2</v>
      </c>
      <c r="Q605">
        <f t="shared" si="48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3.9700000000000006E-2</v>
      </c>
      <c r="K606">
        <f t="shared" si="45"/>
        <v>4.9030613000008534E-3</v>
      </c>
      <c r="L606">
        <f t="shared" si="49"/>
        <v>2.4030613000008533E-3</v>
      </c>
      <c r="N606">
        <f t="shared" si="46"/>
        <v>3.7200000000000004E-2</v>
      </c>
      <c r="P606">
        <f t="shared" si="47"/>
        <v>2.8E-3</v>
      </c>
      <c r="Q606">
        <f t="shared" si="48"/>
        <v>-1.1999999999999999E-3</v>
      </c>
    </row>
    <row r="607" spans="1:17">
      <c r="A607">
        <v>197705</v>
      </c>
      <c r="B607">
        <v>-1.0799999999999999E-2</v>
      </c>
      <c r="C607">
        <v>1.18E-2</v>
      </c>
      <c r="D607">
        <v>6.9999999999999993E-3</v>
      </c>
      <c r="K607">
        <f t="shared" si="45"/>
        <v>-6.8967694500083913E-3</v>
      </c>
      <c r="L607">
        <f t="shared" si="49"/>
        <v>-9.3967694500083909E-3</v>
      </c>
      <c r="N607">
        <f t="shared" si="46"/>
        <v>4.4999999999999988E-3</v>
      </c>
      <c r="P607">
        <f t="shared" si="47"/>
        <v>-1.3299999999999999E-2</v>
      </c>
      <c r="Q607">
        <f t="shared" si="48"/>
        <v>1.18E-2</v>
      </c>
    </row>
    <row r="608" spans="1:17">
      <c r="A608">
        <v>197706</v>
      </c>
      <c r="B608">
        <v>5.1100000000000007E-2</v>
      </c>
      <c r="C608">
        <v>2.0899999999999998E-2</v>
      </c>
      <c r="D608">
        <v>7.0099999999999996E-2</v>
      </c>
      <c r="K608">
        <f t="shared" si="45"/>
        <v>5.8013349024985145E-2</v>
      </c>
      <c r="L608">
        <f t="shared" si="49"/>
        <v>5.5513349024985142E-2</v>
      </c>
      <c r="N608">
        <f t="shared" si="46"/>
        <v>6.7599999999999993E-2</v>
      </c>
      <c r="P608">
        <f t="shared" si="47"/>
        <v>4.8600000000000004E-2</v>
      </c>
      <c r="Q608">
        <f t="shared" si="48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-1.0900000000000002E-2</v>
      </c>
      <c r="K609">
        <f t="shared" si="45"/>
        <v>-5.5551034000153616E-3</v>
      </c>
      <c r="L609">
        <f t="shared" si="49"/>
        <v>-8.0551034000153621E-3</v>
      </c>
      <c r="N609">
        <f t="shared" si="46"/>
        <v>-1.3400000000000002E-2</v>
      </c>
      <c r="P609">
        <f t="shared" si="47"/>
        <v>-1.52E-2</v>
      </c>
      <c r="Q609">
        <f t="shared" si="48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9"/>
        <v>-1.0671344475010598E-2</v>
      </c>
      <c r="N610">
        <f t="shared" si="46"/>
        <v>-2.2499999999999999E-2</v>
      </c>
      <c r="P610">
        <f t="shared" si="47"/>
        <v>-1.5600000000000001E-2</v>
      </c>
      <c r="Q610">
        <f t="shared" si="48"/>
        <v>1.49E-2</v>
      </c>
    </row>
    <row r="611" spans="1:17">
      <c r="A611">
        <v>197709</v>
      </c>
      <c r="B611">
        <v>1.5999999999999999E-3</v>
      </c>
      <c r="C611">
        <v>1.3300000000000001E-2</v>
      </c>
      <c r="D611">
        <v>1.01E-2</v>
      </c>
      <c r="K611">
        <f t="shared" si="45"/>
        <v>5.9994039249905411E-3</v>
      </c>
      <c r="L611">
        <f t="shared" si="49"/>
        <v>3.4994039249905411E-3</v>
      </c>
      <c r="N611">
        <f t="shared" si="46"/>
        <v>7.5999999999999991E-3</v>
      </c>
      <c r="P611">
        <f t="shared" si="47"/>
        <v>-9.0000000000000019E-4</v>
      </c>
      <c r="Q611">
        <f t="shared" si="48"/>
        <v>1.3300000000000001E-2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-4.7400000000000005E-2</v>
      </c>
      <c r="K612">
        <f t="shared" si="45"/>
        <v>-3.4765221875008884E-2</v>
      </c>
      <c r="L612">
        <f t="shared" si="49"/>
        <v>-3.7265221875008886E-2</v>
      </c>
      <c r="N612">
        <f t="shared" si="46"/>
        <v>-4.9900000000000007E-2</v>
      </c>
      <c r="P612">
        <f t="shared" si="47"/>
        <v>-4.1399999999999999E-2</v>
      </c>
      <c r="Q612">
        <f t="shared" si="48"/>
        <v>1.2500000000000001E-2</v>
      </c>
    </row>
    <row r="613" spans="1:17">
      <c r="A613">
        <v>197711</v>
      </c>
      <c r="B613">
        <v>4.4999999999999998E-2</v>
      </c>
      <c r="C613">
        <v>3.7200000000000004E-2</v>
      </c>
      <c r="D613">
        <v>8.5800000000000001E-2</v>
      </c>
      <c r="K613">
        <f t="shared" si="45"/>
        <v>5.7305099699973543E-2</v>
      </c>
      <c r="L613">
        <f t="shared" si="49"/>
        <v>5.480509969997354E-2</v>
      </c>
      <c r="N613">
        <f t="shared" si="46"/>
        <v>8.3299999999999999E-2</v>
      </c>
      <c r="P613">
        <f t="shared" si="47"/>
        <v>4.2499999999999996E-2</v>
      </c>
      <c r="Q613">
        <f t="shared" si="48"/>
        <v>3.7200000000000004E-2</v>
      </c>
    </row>
    <row r="614" spans="1:17">
      <c r="A614">
        <v>197712</v>
      </c>
      <c r="B614">
        <v>7.6E-3</v>
      </c>
      <c r="C614">
        <v>1.3200000000000002E-2</v>
      </c>
      <c r="D614">
        <v>1.95E-2</v>
      </c>
      <c r="K614">
        <f t="shared" si="45"/>
        <v>1.1966325699990612E-2</v>
      </c>
      <c r="L614">
        <f t="shared" si="49"/>
        <v>9.4663256999906117E-3</v>
      </c>
      <c r="N614">
        <f t="shared" si="46"/>
        <v>1.7000000000000001E-2</v>
      </c>
      <c r="P614">
        <f t="shared" si="47"/>
        <v>5.1000000000000004E-3</v>
      </c>
      <c r="Q614">
        <f t="shared" si="48"/>
        <v>1.3200000000000002E-2</v>
      </c>
    </row>
    <row r="615" spans="1:17">
      <c r="A615">
        <v>197801</v>
      </c>
      <c r="B615">
        <v>-5.5199999999999999E-2</v>
      </c>
      <c r="C615">
        <v>2.2400000000000003E-2</v>
      </c>
      <c r="D615">
        <v>-3.7100000000000001E-2</v>
      </c>
      <c r="K615">
        <f t="shared" si="45"/>
        <v>-4.7790477600015931E-2</v>
      </c>
      <c r="L615">
        <f t="shared" si="49"/>
        <v>-5.0290477600015933E-2</v>
      </c>
      <c r="N615">
        <f t="shared" si="46"/>
        <v>-3.9600000000000003E-2</v>
      </c>
      <c r="P615">
        <f t="shared" si="47"/>
        <v>-5.7700000000000001E-2</v>
      </c>
      <c r="Q615">
        <f t="shared" si="48"/>
        <v>2.2400000000000003E-2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9"/>
        <v>1.7508277497446873E-4</v>
      </c>
      <c r="N616">
        <f t="shared" si="46"/>
        <v>1.26E-2</v>
      </c>
      <c r="P616">
        <f t="shared" si="47"/>
        <v>-1.17E-2</v>
      </c>
      <c r="Q616">
        <f t="shared" si="48"/>
        <v>3.5900000000000001E-2</v>
      </c>
    </row>
    <row r="617" spans="1:17">
      <c r="A617">
        <v>197803</v>
      </c>
      <c r="B617">
        <v>3.3800000000000004E-2</v>
      </c>
      <c r="C617">
        <v>3.4799999999999998E-2</v>
      </c>
      <c r="D617">
        <v>6.480000000000001E-2</v>
      </c>
      <c r="K617">
        <f t="shared" si="45"/>
        <v>4.5311222299975251E-2</v>
      </c>
      <c r="L617">
        <f t="shared" si="49"/>
        <v>4.2811222299975249E-2</v>
      </c>
      <c r="N617">
        <f t="shared" si="46"/>
        <v>6.2300000000000008E-2</v>
      </c>
      <c r="P617">
        <f t="shared" si="47"/>
        <v>3.1300000000000001E-2</v>
      </c>
      <c r="Q617">
        <f t="shared" si="48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9"/>
        <v>8.3155441899996865E-2</v>
      </c>
      <c r="N618">
        <f t="shared" si="46"/>
        <v>9.8900000000000002E-2</v>
      </c>
      <c r="P618">
        <f t="shared" si="47"/>
        <v>8.1699999999999995E-2</v>
      </c>
      <c r="Q618">
        <f t="shared" si="48"/>
        <v>4.4000000000000003E-3</v>
      </c>
    </row>
    <row r="619" spans="1:17">
      <c r="A619">
        <v>197805</v>
      </c>
      <c r="B619">
        <v>2.2700000000000001E-2</v>
      </c>
      <c r="C619">
        <v>4.5599999999999995E-2</v>
      </c>
      <c r="D619">
        <v>8.9600000000000013E-2</v>
      </c>
      <c r="K619">
        <f t="shared" si="45"/>
        <v>3.7783670599967567E-2</v>
      </c>
      <c r="L619">
        <f t="shared" si="49"/>
        <v>3.5283670599967565E-2</v>
      </c>
      <c r="N619">
        <f t="shared" si="46"/>
        <v>8.7100000000000011E-2</v>
      </c>
      <c r="P619">
        <f t="shared" si="47"/>
        <v>2.0200000000000003E-2</v>
      </c>
      <c r="Q619">
        <f t="shared" si="48"/>
        <v>4.5599999999999995E-2</v>
      </c>
    </row>
    <row r="620" spans="1:17">
      <c r="A620">
        <v>197806</v>
      </c>
      <c r="B620">
        <v>-1.1499999999999998E-2</v>
      </c>
      <c r="C620">
        <v>1.66E-2</v>
      </c>
      <c r="D620">
        <v>2.2000000000000002E-2</v>
      </c>
      <c r="K620">
        <f t="shared" si="45"/>
        <v>-6.009014650011804E-3</v>
      </c>
      <c r="L620">
        <f t="shared" si="49"/>
        <v>-8.5090146500118036E-3</v>
      </c>
      <c r="N620">
        <f t="shared" si="46"/>
        <v>1.9500000000000003E-2</v>
      </c>
      <c r="P620">
        <f t="shared" si="47"/>
        <v>-1.3999999999999999E-2</v>
      </c>
      <c r="Q620">
        <f t="shared" si="48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9"/>
        <v>5.5026955624998229E-2</v>
      </c>
      <c r="N621">
        <f t="shared" si="46"/>
        <v>9.7100000000000006E-2</v>
      </c>
      <c r="P621">
        <f t="shared" si="47"/>
        <v>5.4200000000000005E-2</v>
      </c>
      <c r="Q621">
        <f t="shared" si="48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9"/>
        <v>5.7337581849964014E-2</v>
      </c>
      <c r="N622">
        <f t="shared" si="46"/>
        <v>0.1016</v>
      </c>
      <c r="P622">
        <f t="shared" si="47"/>
        <v>4.0599999999999997E-2</v>
      </c>
      <c r="Q622">
        <f t="shared" si="48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9"/>
        <v>-1.2022363674996941E-2</v>
      </c>
      <c r="N623">
        <f t="shared" si="46"/>
        <v>-4.8500000000000001E-2</v>
      </c>
      <c r="P623">
        <f t="shared" si="47"/>
        <v>-1.06E-2</v>
      </c>
      <c r="Q623">
        <f t="shared" si="48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9"/>
        <v>-0.14751436452492966</v>
      </c>
      <c r="N624">
        <f t="shared" si="46"/>
        <v>-0.2334</v>
      </c>
      <c r="P624">
        <f t="shared" si="47"/>
        <v>-0.1148</v>
      </c>
      <c r="Q624">
        <f t="shared" si="48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9"/>
        <v>4.1523467499978657E-2</v>
      </c>
      <c r="N625">
        <f t="shared" si="46"/>
        <v>0.10869999999999999</v>
      </c>
      <c r="P625">
        <f t="shared" si="47"/>
        <v>3.1599999999999996E-2</v>
      </c>
      <c r="Q625">
        <f t="shared" si="48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9"/>
        <v>1.8367091024990827E-2</v>
      </c>
      <c r="N626">
        <f t="shared" si="46"/>
        <v>3.3099999999999997E-2</v>
      </c>
      <c r="P626">
        <f t="shared" si="47"/>
        <v>1.41E-2</v>
      </c>
      <c r="Q626">
        <f t="shared" si="48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9"/>
        <v>5.9474317449974258E-2</v>
      </c>
      <c r="N627">
        <f t="shared" si="46"/>
        <v>6.4500000000000002E-2</v>
      </c>
      <c r="P627">
        <f t="shared" si="47"/>
        <v>4.7500000000000001E-2</v>
      </c>
      <c r="Q627">
        <f t="shared" si="48"/>
        <v>3.6200000000000003E-2</v>
      </c>
    </row>
    <row r="628" spans="1:17">
      <c r="A628">
        <v>197902</v>
      </c>
      <c r="B628">
        <v>-2.8299999999999999E-2</v>
      </c>
      <c r="C628">
        <v>4.5000000000000005E-3</v>
      </c>
      <c r="D628">
        <v>-4.2900000000000001E-2</v>
      </c>
      <c r="K628">
        <f t="shared" si="45"/>
        <v>-2.6811479875003198E-2</v>
      </c>
      <c r="L628">
        <f t="shared" si="49"/>
        <v>-2.9311479875003196E-2</v>
      </c>
      <c r="N628">
        <f t="shared" si="46"/>
        <v>-4.5400000000000003E-2</v>
      </c>
      <c r="P628">
        <f t="shared" si="47"/>
        <v>-3.0799999999999998E-2</v>
      </c>
      <c r="Q628">
        <f t="shared" si="48"/>
        <v>4.5000000000000005E-3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9"/>
        <v>7.30511884499771E-2</v>
      </c>
      <c r="N629">
        <f t="shared" si="46"/>
        <v>0.1032</v>
      </c>
      <c r="P629">
        <f t="shared" si="47"/>
        <v>6.2399999999999997E-2</v>
      </c>
      <c r="Q629">
        <f t="shared" si="48"/>
        <v>3.2199999999999999E-2</v>
      </c>
    </row>
    <row r="630" spans="1:17">
      <c r="A630">
        <v>197904</v>
      </c>
      <c r="B630">
        <v>7.4000000000000003E-3</v>
      </c>
      <c r="C630">
        <v>2.1800000000000003E-2</v>
      </c>
      <c r="D630">
        <v>1.5500000000000002E-2</v>
      </c>
      <c r="K630">
        <f t="shared" si="45"/>
        <v>1.4611053049984498E-2</v>
      </c>
      <c r="L630">
        <f t="shared" si="49"/>
        <v>1.2111053049984498E-2</v>
      </c>
      <c r="N630">
        <f t="shared" si="46"/>
        <v>1.3000000000000001E-2</v>
      </c>
      <c r="P630">
        <f t="shared" si="47"/>
        <v>4.8999999999999998E-3</v>
      </c>
      <c r="Q630">
        <f t="shared" si="48"/>
        <v>2.1800000000000003E-2</v>
      </c>
    </row>
    <row r="631" spans="1:17">
      <c r="A631">
        <v>197905</v>
      </c>
      <c r="B631">
        <v>-1.3900000000000003E-2</v>
      </c>
      <c r="C631">
        <v>1.9E-3</v>
      </c>
      <c r="D631">
        <v>-1.44E-2</v>
      </c>
      <c r="K631">
        <f t="shared" si="45"/>
        <v>-1.3271513725001354E-2</v>
      </c>
      <c r="L631">
        <f t="shared" si="49"/>
        <v>-1.5771513725001355E-2</v>
      </c>
      <c r="N631">
        <f t="shared" si="46"/>
        <v>-1.6899999999999998E-2</v>
      </c>
      <c r="P631">
        <f t="shared" si="47"/>
        <v>-1.6400000000000001E-2</v>
      </c>
      <c r="Q631">
        <f t="shared" si="48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9"/>
        <v>4.7937074099991747E-2</v>
      </c>
      <c r="N632">
        <f t="shared" si="46"/>
        <v>6.5199999999999994E-2</v>
      </c>
      <c r="P632">
        <f t="shared" si="47"/>
        <v>4.41E-2</v>
      </c>
      <c r="Q632">
        <f t="shared" si="48"/>
        <v>1.1599999999999999E-2</v>
      </c>
    </row>
    <row r="633" spans="1:17">
      <c r="A633">
        <v>197907</v>
      </c>
      <c r="B633">
        <v>1.5899999999999997E-2</v>
      </c>
      <c r="C633">
        <v>1.2800000000000001E-2</v>
      </c>
      <c r="D633">
        <v>1.7299999999999999E-2</v>
      </c>
      <c r="K633">
        <f t="shared" si="45"/>
        <v>2.0134012799990893E-2</v>
      </c>
      <c r="L633">
        <f t="shared" si="49"/>
        <v>1.7634012799990894E-2</v>
      </c>
      <c r="N633">
        <f t="shared" si="46"/>
        <v>1.4799999999999999E-2</v>
      </c>
      <c r="P633">
        <f t="shared" si="47"/>
        <v>1.3399999999999997E-2</v>
      </c>
      <c r="Q633">
        <f t="shared" si="48"/>
        <v>1.2800000000000001E-2</v>
      </c>
    </row>
    <row r="634" spans="1:17">
      <c r="A634">
        <v>197908</v>
      </c>
      <c r="B634">
        <v>6.3E-2</v>
      </c>
      <c r="C634">
        <v>2.0499999999999997E-2</v>
      </c>
      <c r="D634">
        <v>7.400000000000001E-2</v>
      </c>
      <c r="K634">
        <f t="shared" si="45"/>
        <v>6.9781036124985416E-2</v>
      </c>
      <c r="L634">
        <f t="shared" si="49"/>
        <v>6.7281036124985413E-2</v>
      </c>
      <c r="N634">
        <f t="shared" si="46"/>
        <v>7.1500000000000008E-2</v>
      </c>
      <c r="P634">
        <f t="shared" si="47"/>
        <v>6.0499999999999998E-2</v>
      </c>
      <c r="Q634">
        <f t="shared" si="48"/>
        <v>2.0499999999999997E-2</v>
      </c>
    </row>
    <row r="635" spans="1:17">
      <c r="A635">
        <v>197909</v>
      </c>
      <c r="B635">
        <v>1.0000000000000113E-4</v>
      </c>
      <c r="C635">
        <v>-2.7000000000000001E-3</v>
      </c>
      <c r="D635">
        <v>4.3899999999999995E-2</v>
      </c>
      <c r="K635">
        <f t="shared" si="45"/>
        <v>-7.9311207499807861E-4</v>
      </c>
      <c r="L635">
        <f t="shared" si="49"/>
        <v>-3.2931120749980789E-3</v>
      </c>
      <c r="N635">
        <f t="shared" si="46"/>
        <v>4.1399999999999992E-2</v>
      </c>
      <c r="P635">
        <f t="shared" si="47"/>
        <v>-2.3999999999999989E-3</v>
      </c>
      <c r="Q635">
        <f t="shared" si="48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9"/>
        <v>-8.5947361824976032E-2</v>
      </c>
      <c r="N636">
        <f t="shared" si="46"/>
        <v>-6.7900000000000002E-2</v>
      </c>
      <c r="P636">
        <f t="shared" si="47"/>
        <v>-7.4800000000000005E-2</v>
      </c>
      <c r="Q636">
        <f t="shared" si="48"/>
        <v>-3.3700000000000001E-2</v>
      </c>
    </row>
    <row r="637" spans="1:17">
      <c r="A637">
        <v>197911</v>
      </c>
      <c r="B637">
        <v>6.2E-2</v>
      </c>
      <c r="C637">
        <v>2.8700000000000003E-2</v>
      </c>
      <c r="D637">
        <v>0.125</v>
      </c>
      <c r="K637">
        <f t="shared" si="45"/>
        <v>7.1493450574979592E-2</v>
      </c>
      <c r="L637">
        <f t="shared" si="49"/>
        <v>6.899345057497959E-2</v>
      </c>
      <c r="N637">
        <f t="shared" si="46"/>
        <v>0.1225</v>
      </c>
      <c r="P637">
        <f t="shared" si="47"/>
        <v>5.9499999999999997E-2</v>
      </c>
      <c r="Q637">
        <f t="shared" si="48"/>
        <v>2.8700000000000003E-2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9"/>
        <v>3.8693619824970341E-2</v>
      </c>
      <c r="N638">
        <f t="shared" si="46"/>
        <v>8.6699999999999999E-2</v>
      </c>
      <c r="P638">
        <f t="shared" si="47"/>
        <v>2.4900000000000002E-2</v>
      </c>
      <c r="Q638">
        <f t="shared" si="48"/>
        <v>4.1700000000000001E-2</v>
      </c>
    </row>
    <row r="639" spans="1:17">
      <c r="A639">
        <v>198001</v>
      </c>
      <c r="B639">
        <v>6.3099999999999989E-2</v>
      </c>
      <c r="C639">
        <v>1.6200000000000003E-2</v>
      </c>
      <c r="D639">
        <v>0.13820000000000002</v>
      </c>
      <c r="K639">
        <f t="shared" si="45"/>
        <v>6.8458672449988461E-2</v>
      </c>
      <c r="L639">
        <f t="shared" si="49"/>
        <v>6.5958672449988459E-2</v>
      </c>
      <c r="N639">
        <f t="shared" si="46"/>
        <v>0.13570000000000002</v>
      </c>
      <c r="P639">
        <f t="shared" si="47"/>
        <v>6.0599999999999987E-2</v>
      </c>
      <c r="Q639">
        <f t="shared" si="48"/>
        <v>1.6200000000000003E-2</v>
      </c>
    </row>
    <row r="640" spans="1:17">
      <c r="A640">
        <v>198002</v>
      </c>
      <c r="B640">
        <v>-3.3000000000000008E-3</v>
      </c>
      <c r="C640">
        <v>-1.8500000000000003E-2</v>
      </c>
      <c r="D640">
        <v>5.1299999999999998E-2</v>
      </c>
      <c r="K640">
        <f t="shared" si="45"/>
        <v>-9.419471624986844E-3</v>
      </c>
      <c r="L640">
        <f t="shared" si="49"/>
        <v>-1.1919471624986844E-2</v>
      </c>
      <c r="N640">
        <f t="shared" si="46"/>
        <v>4.8799999999999996E-2</v>
      </c>
      <c r="P640">
        <f t="shared" si="47"/>
        <v>-5.8000000000000013E-3</v>
      </c>
      <c r="Q640">
        <f t="shared" si="48"/>
        <v>-1.8500000000000003E-2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9"/>
        <v>-0.14136394139995279</v>
      </c>
      <c r="N641">
        <f t="shared" si="46"/>
        <v>-0.215</v>
      </c>
      <c r="P641">
        <f t="shared" si="47"/>
        <v>-0.11940000000000001</v>
      </c>
      <c r="Q641">
        <f t="shared" si="48"/>
        <v>-6.6400000000000001E-2</v>
      </c>
    </row>
    <row r="642" spans="1:17">
      <c r="A642">
        <v>198004</v>
      </c>
      <c r="B642">
        <v>5.2300000000000006E-2</v>
      </c>
      <c r="C642">
        <v>1.0500000000000001E-2</v>
      </c>
      <c r="D642">
        <v>6.8699999999999997E-2</v>
      </c>
      <c r="K642">
        <f t="shared" si="45"/>
        <v>5.5773213624992539E-2</v>
      </c>
      <c r="L642">
        <f t="shared" si="49"/>
        <v>5.3273213624992537E-2</v>
      </c>
      <c r="N642">
        <f t="shared" si="46"/>
        <v>6.6199999999999995E-2</v>
      </c>
      <c r="P642">
        <f t="shared" si="47"/>
        <v>4.9800000000000004E-2</v>
      </c>
      <c r="Q642">
        <f t="shared" si="48"/>
        <v>1.0500000000000001E-2</v>
      </c>
    </row>
    <row r="643" spans="1:17">
      <c r="A643">
        <v>198005</v>
      </c>
      <c r="B643">
        <v>6.0700000000000004E-2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si="49"/>
        <v>6.5245661924984849E-2</v>
      </c>
      <c r="N643">
        <f t="shared" ref="N643:N706" si="51">D643-$I$7</f>
        <v>3.5299999999999998E-2</v>
      </c>
      <c r="P643">
        <f t="shared" ref="P643:P706" si="52">B643-0.0025</f>
        <v>5.8200000000000002E-2</v>
      </c>
      <c r="Q643">
        <f t="shared" ref="Q643:Q706" si="53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ref="L644:L707" si="54">K644-$I$7</f>
        <v>3.9690985349988196E-2</v>
      </c>
      <c r="N644">
        <f t="shared" si="51"/>
        <v>6.0300000000000006E-2</v>
      </c>
      <c r="P644">
        <f t="shared" si="52"/>
        <v>3.4200000000000001E-2</v>
      </c>
      <c r="Q644">
        <f t="shared" si="53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4"/>
        <v>8.139438514997055E-2</v>
      </c>
      <c r="N645">
        <f t="shared" si="51"/>
        <v>6.1899999999999997E-2</v>
      </c>
      <c r="P645">
        <f t="shared" si="52"/>
        <v>6.7699999999999996E-2</v>
      </c>
      <c r="Q645">
        <f t="shared" si="53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4"/>
        <v>3.4899742424972048E-2</v>
      </c>
      <c r="N646">
        <f t="shared" si="51"/>
        <v>4.9200000000000001E-2</v>
      </c>
      <c r="P646">
        <f t="shared" si="52"/>
        <v>2.1900000000000003E-2</v>
      </c>
      <c r="Q646">
        <f t="shared" si="53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4"/>
        <v>3.0108587824993104E-2</v>
      </c>
      <c r="N647">
        <f t="shared" si="51"/>
        <v>8.0799999999999997E-2</v>
      </c>
      <c r="P647">
        <f t="shared" si="52"/>
        <v>2.69E-2</v>
      </c>
      <c r="Q647">
        <f t="shared" si="53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4"/>
        <v>2.5869556249982221E-2</v>
      </c>
      <c r="N648">
        <f t="shared" si="51"/>
        <v>4.9599999999999998E-2</v>
      </c>
      <c r="P648">
        <f t="shared" si="52"/>
        <v>1.7600000000000001E-2</v>
      </c>
      <c r="Q648">
        <f t="shared" si="53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4"/>
        <v>9.1885716400023895E-2</v>
      </c>
      <c r="N649">
        <f t="shared" si="51"/>
        <v>0.1696</v>
      </c>
      <c r="P649">
        <f t="shared" si="52"/>
        <v>0.10299999999999999</v>
      </c>
      <c r="Q649">
        <f t="shared" si="53"/>
        <v>-3.3599999999999998E-2</v>
      </c>
    </row>
    <row r="650" spans="1:17">
      <c r="A650">
        <v>198012</v>
      </c>
      <c r="B650">
        <v>-3.2099999999999997E-2</v>
      </c>
      <c r="C650">
        <v>-2.6000000000000003E-3</v>
      </c>
      <c r="D650">
        <v>-7.400000000000001E-2</v>
      </c>
      <c r="K650">
        <f t="shared" si="50"/>
        <v>-3.2960033849998148E-2</v>
      </c>
      <c r="L650">
        <f t="shared" si="54"/>
        <v>-3.546003384999815E-2</v>
      </c>
      <c r="N650">
        <f t="shared" si="51"/>
        <v>-7.6500000000000012E-2</v>
      </c>
      <c r="P650">
        <f t="shared" si="52"/>
        <v>-3.4599999999999999E-2</v>
      </c>
      <c r="Q650">
        <f t="shared" si="53"/>
        <v>-2.6000000000000003E-3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4"/>
        <v>-3.2841158300020767E-2</v>
      </c>
      <c r="N651">
        <f t="shared" si="51"/>
        <v>-0.115</v>
      </c>
      <c r="P651">
        <f t="shared" si="52"/>
        <v>-4.2500000000000003E-2</v>
      </c>
      <c r="Q651">
        <f t="shared" si="53"/>
        <v>2.92E-2</v>
      </c>
    </row>
    <row r="652" spans="1:17">
      <c r="A652">
        <v>198102</v>
      </c>
      <c r="B652">
        <v>1.6400000000000001E-2</v>
      </c>
      <c r="C652">
        <v>-3.4000000000000002E-3</v>
      </c>
      <c r="D652">
        <v>-7.000000000000001E-4</v>
      </c>
      <c r="K652">
        <f t="shared" si="50"/>
        <v>1.527534035000242E-2</v>
      </c>
      <c r="L652">
        <f t="shared" si="54"/>
        <v>1.2775340350002419E-2</v>
      </c>
      <c r="N652">
        <f t="shared" si="51"/>
        <v>-3.2000000000000002E-3</v>
      </c>
      <c r="P652">
        <f t="shared" si="52"/>
        <v>1.3900000000000001E-2</v>
      </c>
      <c r="Q652">
        <f t="shared" si="53"/>
        <v>-3.4000000000000002E-3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4"/>
        <v>5.6909691649974822E-2</v>
      </c>
      <c r="N653">
        <f t="shared" si="51"/>
        <v>8.199999999999999E-2</v>
      </c>
      <c r="P653">
        <f t="shared" si="52"/>
        <v>4.5199999999999997E-2</v>
      </c>
      <c r="Q653">
        <f t="shared" si="53"/>
        <v>3.5400000000000001E-2</v>
      </c>
    </row>
    <row r="654" spans="1:17">
      <c r="A654">
        <v>198104</v>
      </c>
      <c r="B654">
        <v>-1.03E-2</v>
      </c>
      <c r="C654">
        <v>4.4000000000000004E-2</v>
      </c>
      <c r="D654">
        <v>4.0000000000000001E-3</v>
      </c>
      <c r="K654">
        <f t="shared" si="50"/>
        <v>4.2544189999687079E-3</v>
      </c>
      <c r="L654">
        <f t="shared" si="54"/>
        <v>1.7544189999687079E-3</v>
      </c>
      <c r="N654">
        <f t="shared" si="51"/>
        <v>1.5E-3</v>
      </c>
      <c r="P654">
        <f t="shared" si="52"/>
        <v>-1.2800000000000001E-2</v>
      </c>
      <c r="Q654">
        <f t="shared" si="53"/>
        <v>4.4000000000000004E-2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4"/>
        <v>1.6715644999985776E-2</v>
      </c>
      <c r="N655">
        <f t="shared" si="51"/>
        <v>6.1399999999999996E-2</v>
      </c>
      <c r="P655">
        <f t="shared" si="52"/>
        <v>1.01E-2</v>
      </c>
      <c r="Q655">
        <f t="shared" si="53"/>
        <v>0.02</v>
      </c>
    </row>
    <row r="656" spans="1:17">
      <c r="A656">
        <v>198106</v>
      </c>
      <c r="B656">
        <v>-1.0099999999999998E-2</v>
      </c>
      <c r="C656">
        <v>-8.3000000000000001E-3</v>
      </c>
      <c r="D656">
        <v>-8.43E-2</v>
      </c>
      <c r="K656">
        <f t="shared" si="50"/>
        <v>-1.2845492674994095E-2</v>
      </c>
      <c r="L656">
        <f t="shared" si="54"/>
        <v>-1.5345492674994096E-2</v>
      </c>
      <c r="N656">
        <f t="shared" si="51"/>
        <v>-8.6800000000000002E-2</v>
      </c>
      <c r="P656">
        <f t="shared" si="52"/>
        <v>-1.2599999999999998E-2</v>
      </c>
      <c r="Q656">
        <f t="shared" si="53"/>
        <v>-8.3000000000000001E-3</v>
      </c>
    </row>
    <row r="657" spans="1:17">
      <c r="A657">
        <v>198107</v>
      </c>
      <c r="B657">
        <v>-3.0000000000000009E-3</v>
      </c>
      <c r="C657">
        <v>-2.1800000000000003E-2</v>
      </c>
      <c r="D657">
        <v>-2.4300000000000002E-2</v>
      </c>
      <c r="K657">
        <f t="shared" si="50"/>
        <v>-1.0211053049984497E-2</v>
      </c>
      <c r="L657">
        <f t="shared" si="54"/>
        <v>-1.2711053049984497E-2</v>
      </c>
      <c r="N657">
        <f t="shared" si="51"/>
        <v>-2.6800000000000001E-2</v>
      </c>
      <c r="P657">
        <f t="shared" si="52"/>
        <v>-5.5000000000000014E-3</v>
      </c>
      <c r="Q657">
        <f t="shared" si="53"/>
        <v>-2.1800000000000003E-2</v>
      </c>
    </row>
    <row r="658" spans="1:17">
      <c r="A658">
        <v>198108</v>
      </c>
      <c r="B658">
        <v>-5.7600000000000005E-2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4"/>
        <v>-6.6517175649986215E-2</v>
      </c>
      <c r="N658">
        <f t="shared" si="51"/>
        <v>-8.77E-2</v>
      </c>
      <c r="P658">
        <f t="shared" si="52"/>
        <v>-6.0100000000000008E-2</v>
      </c>
      <c r="Q658">
        <f t="shared" si="53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4"/>
        <v>-7.0565729624981158E-2</v>
      </c>
      <c r="N659">
        <f t="shared" si="51"/>
        <v>-8.9900000000000008E-2</v>
      </c>
      <c r="P659">
        <f t="shared" si="52"/>
        <v>-6.1800000000000001E-2</v>
      </c>
      <c r="Q659">
        <f t="shared" si="53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4"/>
        <v>6.6176444174984139E-2</v>
      </c>
      <c r="N660">
        <f t="shared" si="51"/>
        <v>0.1182</v>
      </c>
      <c r="P660">
        <f t="shared" si="52"/>
        <v>5.8799999999999998E-2</v>
      </c>
      <c r="Q660">
        <f t="shared" si="53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4"/>
        <v>3.8392942825007326E-2</v>
      </c>
      <c r="N661">
        <f t="shared" si="51"/>
        <v>2.5100000000000001E-2</v>
      </c>
      <c r="P661">
        <f t="shared" si="52"/>
        <v>4.1799999999999997E-2</v>
      </c>
      <c r="Q661">
        <f t="shared" si="53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4"/>
        <v>-2.6330613000008531E-2</v>
      </c>
      <c r="N662">
        <f t="shared" si="51"/>
        <v>-2.8799999999999999E-2</v>
      </c>
      <c r="P662">
        <f t="shared" si="52"/>
        <v>-3.0299999999999997E-2</v>
      </c>
      <c r="Q662">
        <f t="shared" si="53"/>
        <v>1.2E-2</v>
      </c>
    </row>
    <row r="663" spans="1:17">
      <c r="A663">
        <v>198201</v>
      </c>
      <c r="B663">
        <v>-2.4400000000000005E-2</v>
      </c>
      <c r="C663">
        <v>-1.2800000000000001E-2</v>
      </c>
      <c r="D663">
        <v>-3.56E-2</v>
      </c>
      <c r="K663">
        <f t="shared" si="50"/>
        <v>-2.86340127999909E-2</v>
      </c>
      <c r="L663">
        <f t="shared" si="54"/>
        <v>-3.1134012799990899E-2</v>
      </c>
      <c r="N663">
        <f t="shared" si="51"/>
        <v>-3.8100000000000002E-2</v>
      </c>
      <c r="P663">
        <f t="shared" si="52"/>
        <v>-2.6900000000000004E-2</v>
      </c>
      <c r="Q663">
        <f t="shared" si="53"/>
        <v>-1.2800000000000001E-2</v>
      </c>
    </row>
    <row r="664" spans="1:17">
      <c r="A664">
        <v>198202</v>
      </c>
      <c r="B664">
        <v>-4.9400000000000006E-2</v>
      </c>
      <c r="C664">
        <v>4.4000000000000003E-3</v>
      </c>
      <c r="D664">
        <v>-4.9000000000000002E-2</v>
      </c>
      <c r="K664">
        <f t="shared" si="50"/>
        <v>-4.7944558100003136E-2</v>
      </c>
      <c r="L664">
        <f t="shared" si="54"/>
        <v>-5.0444558100003138E-2</v>
      </c>
      <c r="N664">
        <f t="shared" si="51"/>
        <v>-5.1500000000000004E-2</v>
      </c>
      <c r="P664">
        <f t="shared" si="52"/>
        <v>-5.1900000000000009E-2</v>
      </c>
      <c r="Q664">
        <f t="shared" si="53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4"/>
        <v>-1.2094642724998508E-2</v>
      </c>
      <c r="N665">
        <f t="shared" si="51"/>
        <v>-7.7000000000000002E-3</v>
      </c>
      <c r="P665">
        <f t="shared" si="52"/>
        <v>-1.1400000000000002E-2</v>
      </c>
      <c r="Q665">
        <f t="shared" si="53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4"/>
        <v>4.6362499074989544E-2</v>
      </c>
      <c r="N666">
        <f t="shared" si="51"/>
        <v>4.9599999999999998E-2</v>
      </c>
      <c r="P666">
        <f t="shared" si="52"/>
        <v>4.1499999999999995E-2</v>
      </c>
      <c r="Q666">
        <f t="shared" si="53"/>
        <v>1.47E-2</v>
      </c>
    </row>
    <row r="667" spans="1:17">
      <c r="A667">
        <v>198205</v>
      </c>
      <c r="B667">
        <v>-2.9300000000000007E-2</v>
      </c>
      <c r="C667">
        <v>5.2000000000000006E-3</v>
      </c>
      <c r="D667">
        <v>-1.9800000000000002E-2</v>
      </c>
      <c r="K667">
        <f t="shared" si="50"/>
        <v>-2.7579932300003704E-2</v>
      </c>
      <c r="L667">
        <f t="shared" si="54"/>
        <v>-3.0079932300003703E-2</v>
      </c>
      <c r="N667">
        <f t="shared" si="51"/>
        <v>-2.23E-2</v>
      </c>
      <c r="P667">
        <f t="shared" si="52"/>
        <v>-3.1800000000000009E-2</v>
      </c>
      <c r="Q667">
        <f t="shared" si="53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4"/>
        <v>-2.5123128999997153E-2</v>
      </c>
      <c r="N668">
        <f t="shared" si="51"/>
        <v>5.899999999999999E-3</v>
      </c>
      <c r="P668">
        <f t="shared" si="52"/>
        <v>-2.3799999999999998E-2</v>
      </c>
      <c r="Q668">
        <f t="shared" si="53"/>
        <v>-4.0000000000000001E-3</v>
      </c>
    </row>
    <row r="669" spans="1:17">
      <c r="A669">
        <v>198207</v>
      </c>
      <c r="B669">
        <v>-2.1399999999999995E-2</v>
      </c>
      <c r="C669">
        <v>8.3000000000000001E-3</v>
      </c>
      <c r="D669">
        <v>-8.199999999999999E-3</v>
      </c>
      <c r="K669">
        <f t="shared" si="50"/>
        <v>-1.8654507325005898E-2</v>
      </c>
      <c r="L669">
        <f t="shared" si="54"/>
        <v>-2.1154507325005897E-2</v>
      </c>
      <c r="N669">
        <f t="shared" si="51"/>
        <v>-1.0699999999999999E-2</v>
      </c>
      <c r="P669">
        <f t="shared" si="52"/>
        <v>-2.3899999999999994E-2</v>
      </c>
      <c r="Q669">
        <f t="shared" si="53"/>
        <v>8.3000000000000001E-3</v>
      </c>
    </row>
    <row r="670" spans="1:17">
      <c r="A670">
        <v>198208</v>
      </c>
      <c r="B670">
        <v>0.11900000000000001</v>
      </c>
      <c r="C670">
        <v>-4.1299999999999996E-2</v>
      </c>
      <c r="D670">
        <v>9.69E-2</v>
      </c>
      <c r="K670">
        <f t="shared" si="50"/>
        <v>0.10533869307502938</v>
      </c>
      <c r="L670">
        <f t="shared" si="54"/>
        <v>0.10283869307502938</v>
      </c>
      <c r="N670">
        <f t="shared" si="51"/>
        <v>9.4399999999999998E-2</v>
      </c>
      <c r="P670">
        <f t="shared" si="52"/>
        <v>0.11650000000000001</v>
      </c>
      <c r="Q670">
        <f t="shared" si="53"/>
        <v>-4.1299999999999996E-2</v>
      </c>
    </row>
    <row r="671" spans="1:17">
      <c r="A671">
        <v>198209</v>
      </c>
      <c r="B671">
        <v>1.8000000000000002E-2</v>
      </c>
      <c r="C671">
        <v>2.9600000000000001E-2</v>
      </c>
      <c r="D671">
        <v>4.8000000000000001E-2</v>
      </c>
      <c r="K671">
        <f t="shared" si="50"/>
        <v>2.779115459997895E-2</v>
      </c>
      <c r="L671">
        <f t="shared" si="54"/>
        <v>2.5291154599978952E-2</v>
      </c>
      <c r="N671">
        <f t="shared" si="51"/>
        <v>4.5499999999999999E-2</v>
      </c>
      <c r="P671">
        <f t="shared" si="52"/>
        <v>1.5500000000000002E-2</v>
      </c>
      <c r="Q671">
        <f t="shared" si="53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4"/>
        <v>0.12417338287498328</v>
      </c>
      <c r="N672">
        <f t="shared" si="51"/>
        <v>0.13869999999999999</v>
      </c>
      <c r="P672">
        <f t="shared" si="52"/>
        <v>0.1164</v>
      </c>
      <c r="Q672">
        <f t="shared" si="53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0.10099999999999999</v>
      </c>
      <c r="K673">
        <f t="shared" si="50"/>
        <v>6.8414452849966861E-2</v>
      </c>
      <c r="L673">
        <f t="shared" si="54"/>
        <v>6.5914452849966859E-2</v>
      </c>
      <c r="N673">
        <f t="shared" si="51"/>
        <v>9.849999999999999E-2</v>
      </c>
      <c r="P673">
        <f t="shared" si="52"/>
        <v>5.0499999999999996E-2</v>
      </c>
      <c r="Q673">
        <f t="shared" si="53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4"/>
        <v>8.873044375001778E-3</v>
      </c>
      <c r="N674">
        <f t="shared" si="51"/>
        <v>-1.5E-3</v>
      </c>
      <c r="P674">
        <f t="shared" si="52"/>
        <v>9.7000000000000003E-3</v>
      </c>
      <c r="Q674">
        <f t="shared" si="53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2.5099999999999997E-2</v>
      </c>
      <c r="K675">
        <f t="shared" si="50"/>
        <v>5.1864198974980735E-2</v>
      </c>
      <c r="L675">
        <f t="shared" si="54"/>
        <v>4.9364198974980733E-2</v>
      </c>
      <c r="N675">
        <f t="shared" si="51"/>
        <v>2.2599999999999999E-2</v>
      </c>
      <c r="P675">
        <f t="shared" si="52"/>
        <v>4.0400000000000005E-2</v>
      </c>
      <c r="Q675">
        <f t="shared" si="53"/>
        <v>2.7099999999999999E-2</v>
      </c>
    </row>
    <row r="676" spans="1:17">
      <c r="A676">
        <v>198302</v>
      </c>
      <c r="B676">
        <v>3.2099999999999997E-2</v>
      </c>
      <c r="C676">
        <v>3.2799999999999996E-2</v>
      </c>
      <c r="D676">
        <v>6.93E-2</v>
      </c>
      <c r="K676">
        <f t="shared" si="50"/>
        <v>4.294965779997667E-2</v>
      </c>
      <c r="L676">
        <f t="shared" si="54"/>
        <v>4.0449657799976668E-2</v>
      </c>
      <c r="N676">
        <f t="shared" si="51"/>
        <v>6.6799999999999998E-2</v>
      </c>
      <c r="P676">
        <f t="shared" si="52"/>
        <v>2.9599999999999998E-2</v>
      </c>
      <c r="Q676">
        <f t="shared" si="53"/>
        <v>3.2799999999999996E-2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4.8600000000000004E-2</v>
      </c>
      <c r="K677">
        <f t="shared" si="50"/>
        <v>4.025561114998763E-2</v>
      </c>
      <c r="L677">
        <f t="shared" si="54"/>
        <v>3.7755611149987628E-2</v>
      </c>
      <c r="N677">
        <f t="shared" si="51"/>
        <v>4.6100000000000002E-2</v>
      </c>
      <c r="P677">
        <f t="shared" si="52"/>
        <v>3.2000000000000001E-2</v>
      </c>
      <c r="Q677">
        <f t="shared" si="53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0.10640000000000001</v>
      </c>
      <c r="K678">
        <f t="shared" si="50"/>
        <v>7.5420833024996511E-2</v>
      </c>
      <c r="L678">
        <f t="shared" si="54"/>
        <v>7.2920833024996509E-2</v>
      </c>
      <c r="N678">
        <f t="shared" si="51"/>
        <v>0.10390000000000001</v>
      </c>
      <c r="P678">
        <f t="shared" si="52"/>
        <v>7.1299999999999988E-2</v>
      </c>
      <c r="Q678">
        <f t="shared" si="53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4"/>
        <v>3.0306968849955481E-2</v>
      </c>
      <c r="N679">
        <f t="shared" si="51"/>
        <v>4.53E-2</v>
      </c>
      <c r="P679">
        <f t="shared" si="52"/>
        <v>9.5999999999999992E-3</v>
      </c>
      <c r="Q679">
        <f t="shared" si="53"/>
        <v>6.2600000000000003E-2</v>
      </c>
    </row>
    <row r="680" spans="1:17">
      <c r="A680">
        <v>198306</v>
      </c>
      <c r="B680">
        <v>3.7399999999999996E-2</v>
      </c>
      <c r="C680">
        <v>9.4999999999999998E-3</v>
      </c>
      <c r="D680">
        <v>5.79E-2</v>
      </c>
      <c r="K680">
        <f t="shared" si="50"/>
        <v>4.0542431374993242E-2</v>
      </c>
      <c r="L680">
        <f t="shared" si="54"/>
        <v>3.8042431374993239E-2</v>
      </c>
      <c r="N680">
        <f t="shared" si="51"/>
        <v>5.5399999999999998E-2</v>
      </c>
      <c r="P680">
        <f t="shared" si="52"/>
        <v>3.4899999999999994E-2</v>
      </c>
      <c r="Q680">
        <f t="shared" si="53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4"/>
        <v>-3.0871344475010606E-2</v>
      </c>
      <c r="N681">
        <f t="shared" si="51"/>
        <v>-8.1500000000000003E-2</v>
      </c>
      <c r="P681">
        <f t="shared" si="52"/>
        <v>-3.5800000000000012E-2</v>
      </c>
      <c r="Q681">
        <f t="shared" si="53"/>
        <v>1.49E-2</v>
      </c>
    </row>
    <row r="682" spans="1:17">
      <c r="A682">
        <v>198308</v>
      </c>
      <c r="B682">
        <v>2.5999999999999999E-3</v>
      </c>
      <c r="C682">
        <v>-4.2699999999999995E-2</v>
      </c>
      <c r="D682">
        <v>-4.5100000000000001E-2</v>
      </c>
      <c r="K682">
        <f t="shared" si="50"/>
        <v>-1.1524402074969629E-2</v>
      </c>
      <c r="L682">
        <f t="shared" si="54"/>
        <v>-1.402440207496963E-2</v>
      </c>
      <c r="N682">
        <f t="shared" si="51"/>
        <v>-4.7600000000000003E-2</v>
      </c>
      <c r="P682">
        <f t="shared" si="52"/>
        <v>9.9999999999999829E-5</v>
      </c>
      <c r="Q682">
        <f t="shared" si="53"/>
        <v>-4.2699999999999995E-2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4"/>
        <v>1.625084994999559E-2</v>
      </c>
      <c r="N683">
        <f t="shared" si="51"/>
        <v>9.0999999999999987E-3</v>
      </c>
      <c r="P683">
        <f t="shared" si="52"/>
        <v>1.4199999999999999E-2</v>
      </c>
      <c r="Q683">
        <f t="shared" si="53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4"/>
        <v>-4.1108926324974614E-2</v>
      </c>
      <c r="N684">
        <f t="shared" si="51"/>
        <v>-9.6600000000000005E-2</v>
      </c>
      <c r="P684">
        <f t="shared" si="52"/>
        <v>-2.93E-2</v>
      </c>
      <c r="Q684">
        <f t="shared" si="53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4"/>
        <v>3.2781801449985631E-2</v>
      </c>
      <c r="N685">
        <f t="shared" si="51"/>
        <v>5.16E-2</v>
      </c>
      <c r="P685">
        <f t="shared" si="52"/>
        <v>2.6100000000000002E-2</v>
      </c>
      <c r="Q685">
        <f t="shared" si="53"/>
        <v>2.0199999999999999E-2</v>
      </c>
    </row>
    <row r="686" spans="1:17">
      <c r="A686">
        <v>198312</v>
      </c>
      <c r="B686">
        <v>-1.0499999999999999E-2</v>
      </c>
      <c r="C686">
        <v>-2.7000000000000001E-3</v>
      </c>
      <c r="D686">
        <v>-2.7000000000000003E-2</v>
      </c>
      <c r="K686">
        <f t="shared" si="50"/>
        <v>-1.1393112074998079E-2</v>
      </c>
      <c r="L686">
        <f t="shared" si="54"/>
        <v>-1.389311207499808E-2</v>
      </c>
      <c r="N686">
        <f t="shared" si="51"/>
        <v>-2.9500000000000002E-2</v>
      </c>
      <c r="P686">
        <f t="shared" si="52"/>
        <v>-1.2999999999999999E-2</v>
      </c>
      <c r="Q686">
        <f t="shared" si="53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4"/>
        <v>-1.5323894324997369E-2</v>
      </c>
      <c r="N687">
        <f t="shared" si="51"/>
        <v>-6.9600000000000009E-2</v>
      </c>
      <c r="P687">
        <f t="shared" si="52"/>
        <v>-1.41E-2</v>
      </c>
      <c r="Q687">
        <f t="shared" si="53"/>
        <v>-3.7000000000000002E-3</v>
      </c>
    </row>
    <row r="688" spans="1:17">
      <c r="A688">
        <v>198402</v>
      </c>
      <c r="B688">
        <v>-4.1100000000000005E-2</v>
      </c>
      <c r="C688">
        <v>-1.6899999999999998E-2</v>
      </c>
      <c r="D688">
        <v>-5.9299999999999999E-2</v>
      </c>
      <c r="K688">
        <f t="shared" si="50"/>
        <v>-4.6690220024987988E-2</v>
      </c>
      <c r="L688">
        <f t="shared" si="54"/>
        <v>-4.9190220024987991E-2</v>
      </c>
      <c r="N688">
        <f t="shared" si="51"/>
        <v>-6.1800000000000001E-2</v>
      </c>
      <c r="P688">
        <f t="shared" si="52"/>
        <v>-4.3600000000000007E-2</v>
      </c>
      <c r="Q688">
        <f t="shared" si="53"/>
        <v>-1.6899999999999998E-2</v>
      </c>
    </row>
    <row r="689" spans="1:17">
      <c r="A689">
        <v>198403</v>
      </c>
      <c r="B689">
        <v>1.3600000000000001E-2</v>
      </c>
      <c r="C689">
        <v>7.000000000000001E-4</v>
      </c>
      <c r="D689">
        <v>2.3199999999999998E-2</v>
      </c>
      <c r="K689">
        <f t="shared" si="50"/>
        <v>1.3831547574999502E-2</v>
      </c>
      <c r="L689">
        <f t="shared" si="54"/>
        <v>1.1331547574999502E-2</v>
      </c>
      <c r="N689">
        <f t="shared" si="51"/>
        <v>2.07E-2</v>
      </c>
      <c r="P689">
        <f t="shared" si="52"/>
        <v>1.11E-2</v>
      </c>
      <c r="Q689">
        <f t="shared" si="53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4"/>
        <v>-3.337074099991749E-3</v>
      </c>
      <c r="N690">
        <f t="shared" si="51"/>
        <v>1.4E-2</v>
      </c>
      <c r="P690">
        <f t="shared" si="52"/>
        <v>5.0000000000000088E-4</v>
      </c>
      <c r="Q690">
        <f t="shared" si="53"/>
        <v>-1.1599999999999999E-2</v>
      </c>
    </row>
    <row r="691" spans="1:17">
      <c r="A691">
        <v>198405</v>
      </c>
      <c r="B691">
        <v>-5.1899999999999995E-2</v>
      </c>
      <c r="C691">
        <v>7.000000000000001E-4</v>
      </c>
      <c r="D691">
        <v>-5.4699999999999999E-2</v>
      </c>
      <c r="K691">
        <f t="shared" si="50"/>
        <v>-5.166845242500049E-2</v>
      </c>
      <c r="L691">
        <f t="shared" si="54"/>
        <v>-5.4168452425000492E-2</v>
      </c>
      <c r="N691">
        <f t="shared" si="51"/>
        <v>-5.7200000000000001E-2</v>
      </c>
      <c r="P691">
        <f t="shared" si="52"/>
        <v>-5.4399999999999997E-2</v>
      </c>
      <c r="Q691">
        <f t="shared" si="53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4"/>
        <v>2.2174575025002207E-2</v>
      </c>
      <c r="N692">
        <f t="shared" si="51"/>
        <v>1.2499999999999999E-2</v>
      </c>
      <c r="P692">
        <f t="shared" si="52"/>
        <v>2.3200000000000002E-2</v>
      </c>
      <c r="Q692">
        <f t="shared" si="53"/>
        <v>-3.0999999999999999E-3</v>
      </c>
    </row>
    <row r="693" spans="1:17">
      <c r="A693">
        <v>198407</v>
      </c>
      <c r="B693">
        <v>-1.9200000000000005E-2</v>
      </c>
      <c r="C693">
        <v>-2.2100000000000002E-2</v>
      </c>
      <c r="D693">
        <v>-2.0199999999999999E-2</v>
      </c>
      <c r="K693">
        <f t="shared" si="50"/>
        <v>-2.6510287724984288E-2</v>
      </c>
      <c r="L693">
        <f t="shared" si="54"/>
        <v>-2.9010287724984287E-2</v>
      </c>
      <c r="N693">
        <f t="shared" si="51"/>
        <v>-2.2699999999999998E-2</v>
      </c>
      <c r="P693">
        <f t="shared" si="52"/>
        <v>-2.1700000000000004E-2</v>
      </c>
      <c r="Q693">
        <f t="shared" si="53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4"/>
        <v>0.10780612260000171</v>
      </c>
      <c r="N694">
        <f t="shared" si="51"/>
        <v>8.4499999999999992E-2</v>
      </c>
      <c r="P694">
        <f t="shared" si="52"/>
        <v>0.1086</v>
      </c>
      <c r="Q694">
        <f t="shared" si="53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4"/>
        <v>-1.3045919500012802E-3</v>
      </c>
      <c r="N695">
        <f t="shared" si="51"/>
        <v>1.06E-2</v>
      </c>
      <c r="P695">
        <f t="shared" si="52"/>
        <v>-1.9000000000000002E-3</v>
      </c>
      <c r="Q695">
        <f t="shared" si="53"/>
        <v>1.8E-3</v>
      </c>
    </row>
    <row r="696" spans="1:17">
      <c r="A696">
        <v>198410</v>
      </c>
      <c r="B696">
        <v>1.6000000000000007E-3</v>
      </c>
      <c r="C696">
        <v>-1.23E-2</v>
      </c>
      <c r="D696">
        <v>6.3E-3</v>
      </c>
      <c r="K696">
        <f t="shared" si="50"/>
        <v>-2.4686216749912511E-3</v>
      </c>
      <c r="L696">
        <f t="shared" si="54"/>
        <v>-4.9686216749912516E-3</v>
      </c>
      <c r="N696">
        <f t="shared" si="51"/>
        <v>3.8E-3</v>
      </c>
      <c r="P696">
        <f t="shared" si="52"/>
        <v>-8.9999999999999932E-4</v>
      </c>
      <c r="Q696">
        <f t="shared" si="53"/>
        <v>-1.23E-2</v>
      </c>
    </row>
    <row r="697" spans="1:17">
      <c r="A697">
        <v>198411</v>
      </c>
      <c r="B697">
        <v>-1.03E-2</v>
      </c>
      <c r="C697">
        <v>-6.3E-3</v>
      </c>
      <c r="D697">
        <v>-1.2700000000000001E-2</v>
      </c>
      <c r="K697">
        <f t="shared" si="50"/>
        <v>-1.238392817499552E-2</v>
      </c>
      <c r="L697">
        <f t="shared" si="54"/>
        <v>-1.4883928174995521E-2</v>
      </c>
      <c r="N697">
        <f t="shared" si="51"/>
        <v>-1.5200000000000002E-2</v>
      </c>
      <c r="P697">
        <f t="shared" si="52"/>
        <v>-1.2800000000000001E-2</v>
      </c>
      <c r="Q697">
        <f t="shared" si="53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2.6600000000000002E-2</v>
      </c>
      <c r="K698">
        <f t="shared" si="50"/>
        <v>2.294761940000398E-2</v>
      </c>
      <c r="L698">
        <f t="shared" si="54"/>
        <v>2.0447619400003982E-2</v>
      </c>
      <c r="N698">
        <f t="shared" si="51"/>
        <v>2.4100000000000003E-2</v>
      </c>
      <c r="P698">
        <f t="shared" si="52"/>
        <v>2.23E-2</v>
      </c>
      <c r="Q698">
        <f t="shared" si="53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4"/>
        <v>9.4815814249976538E-2</v>
      </c>
      <c r="N699">
        <f t="shared" si="51"/>
        <v>6.2799999999999995E-2</v>
      </c>
      <c r="P699">
        <f t="shared" si="52"/>
        <v>8.3900000000000002E-2</v>
      </c>
      <c r="Q699">
        <f t="shared" si="53"/>
        <v>3.3000000000000002E-2</v>
      </c>
    </row>
    <row r="700" spans="1:17">
      <c r="A700">
        <v>198502</v>
      </c>
      <c r="B700">
        <v>1.8000000000000002E-2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4"/>
        <v>1.8146257999994312E-2</v>
      </c>
      <c r="N700">
        <f t="shared" si="51"/>
        <v>2.7100000000000003E-2</v>
      </c>
      <c r="P700">
        <f t="shared" si="52"/>
        <v>1.5500000000000002E-2</v>
      </c>
      <c r="Q700">
        <f t="shared" si="53"/>
        <v>8.0000000000000002E-3</v>
      </c>
    </row>
    <row r="701" spans="1:17">
      <c r="A701">
        <v>198503</v>
      </c>
      <c r="B701">
        <v>-2.1999999999999997E-3</v>
      </c>
      <c r="C701">
        <v>-1.0700000000000001E-2</v>
      </c>
      <c r="D701">
        <v>-5.4000000000000003E-3</v>
      </c>
      <c r="K701">
        <f t="shared" si="50"/>
        <v>-5.7393700749923896E-3</v>
      </c>
      <c r="L701">
        <f t="shared" si="54"/>
        <v>-8.2393700749923901E-3</v>
      </c>
      <c r="N701">
        <f t="shared" si="51"/>
        <v>-7.9000000000000008E-3</v>
      </c>
      <c r="P701">
        <f t="shared" si="52"/>
        <v>-4.6999999999999993E-3</v>
      </c>
      <c r="Q701">
        <f t="shared" si="53"/>
        <v>-1.0700000000000001E-2</v>
      </c>
    </row>
    <row r="702" spans="1:17">
      <c r="A702">
        <v>198504</v>
      </c>
      <c r="B702">
        <v>-2.3999999999999994E-3</v>
      </c>
      <c r="C702">
        <v>1.5E-3</v>
      </c>
      <c r="D702">
        <v>-7.000000000000001E-4</v>
      </c>
      <c r="K702">
        <f t="shared" si="50"/>
        <v>-1.903826625001066E-3</v>
      </c>
      <c r="L702">
        <f t="shared" si="54"/>
        <v>-4.4038266250010661E-3</v>
      </c>
      <c r="N702">
        <f t="shared" si="51"/>
        <v>-3.2000000000000002E-3</v>
      </c>
      <c r="P702">
        <f t="shared" si="52"/>
        <v>-4.8999999999999998E-3</v>
      </c>
      <c r="Q702">
        <f t="shared" si="53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4"/>
        <v>4.7656634050015786E-2</v>
      </c>
      <c r="N703">
        <f t="shared" si="51"/>
        <v>7.3399999999999993E-2</v>
      </c>
      <c r="P703">
        <f t="shared" si="52"/>
        <v>5.5E-2</v>
      </c>
      <c r="Q703">
        <f t="shared" si="53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4"/>
        <v>1.7420067699996305E-2</v>
      </c>
      <c r="N704">
        <f t="shared" si="51"/>
        <v>3.5499999999999997E-2</v>
      </c>
      <c r="P704">
        <f t="shared" si="52"/>
        <v>1.5700000000000002E-2</v>
      </c>
      <c r="Q704">
        <f t="shared" si="53"/>
        <v>5.2000000000000006E-3</v>
      </c>
    </row>
    <row r="705" spans="1:17">
      <c r="A705">
        <v>198507</v>
      </c>
      <c r="B705">
        <v>-1.2000000000000005E-3</v>
      </c>
      <c r="C705">
        <v>2.8500000000000001E-2</v>
      </c>
      <c r="D705">
        <v>-1.5500000000000002E-2</v>
      </c>
      <c r="K705">
        <f t="shared" si="50"/>
        <v>8.227294124979731E-3</v>
      </c>
      <c r="L705">
        <f t="shared" si="54"/>
        <v>5.7272941249797305E-3</v>
      </c>
      <c r="N705">
        <f t="shared" si="51"/>
        <v>-1.8000000000000002E-2</v>
      </c>
      <c r="P705">
        <f t="shared" si="52"/>
        <v>-3.7000000000000006E-3</v>
      </c>
      <c r="Q705">
        <f t="shared" si="53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4"/>
        <v>-8.2254249749977963E-3</v>
      </c>
      <c r="N706">
        <f t="shared" si="51"/>
        <v>-1.1500000000000002E-2</v>
      </c>
      <c r="P706">
        <f t="shared" si="52"/>
        <v>-7.1999999999999998E-3</v>
      </c>
      <c r="Q706">
        <f t="shared" si="53"/>
        <v>-3.0999999999999999E-3</v>
      </c>
    </row>
    <row r="707" spans="1:17">
      <c r="A707">
        <v>198509</v>
      </c>
      <c r="B707">
        <v>-3.9400000000000004E-2</v>
      </c>
      <c r="C707">
        <v>-1.5900000000000001E-2</v>
      </c>
      <c r="D707">
        <v>-5.0499999999999996E-2</v>
      </c>
      <c r="K707">
        <f t="shared" ref="K707:K770" si="55">SUMPRODUCT($G$12:$H$12,B707:C707)</f>
        <v>-4.4659437774988694E-2</v>
      </c>
      <c r="L707">
        <f t="shared" si="54"/>
        <v>-4.7159437774988697E-2</v>
      </c>
      <c r="N707">
        <f t="shared" ref="N707:N770" si="56">D707-$I$7</f>
        <v>-5.2999999999999999E-2</v>
      </c>
      <c r="P707">
        <f t="shared" ref="P707:P770" si="57">B707-0.0025</f>
        <v>-4.1900000000000007E-2</v>
      </c>
      <c r="Q707">
        <f t="shared" ref="Q707:Q770" si="58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ref="L708:L771" si="59">K708-$I$7</f>
        <v>3.9205188025010732E-2</v>
      </c>
      <c r="N708">
        <f t="shared" si="56"/>
        <v>7.2300000000000003E-2</v>
      </c>
      <c r="P708">
        <f t="shared" si="57"/>
        <v>4.4199999999999996E-2</v>
      </c>
      <c r="Q708">
        <f t="shared" si="58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9"/>
        <v>6.9226955624998227E-2</v>
      </c>
      <c r="N709">
        <f t="shared" si="56"/>
        <v>7.7199999999999991E-2</v>
      </c>
      <c r="P709">
        <f t="shared" si="57"/>
        <v>6.8400000000000002E-2</v>
      </c>
      <c r="Q709">
        <f t="shared" si="58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9"/>
        <v>4.1113010525003622E-2</v>
      </c>
      <c r="N710">
        <f t="shared" si="56"/>
        <v>3.6899999999999995E-2</v>
      </c>
      <c r="P710">
        <f t="shared" si="57"/>
        <v>4.2799999999999998E-2</v>
      </c>
      <c r="Q710">
        <f t="shared" si="58"/>
        <v>-5.1000000000000004E-3</v>
      </c>
    </row>
    <row r="711" spans="1:17">
      <c r="A711">
        <v>198601</v>
      </c>
      <c r="B711">
        <v>1.2100000000000001E-2</v>
      </c>
      <c r="C711">
        <v>1.21E-2</v>
      </c>
      <c r="D711">
        <v>4.6300000000000001E-2</v>
      </c>
      <c r="K711">
        <f t="shared" si="55"/>
        <v>1.6102465224991397E-2</v>
      </c>
      <c r="L711">
        <f t="shared" si="59"/>
        <v>1.3602465224991396E-2</v>
      </c>
      <c r="N711">
        <f t="shared" si="56"/>
        <v>4.3799999999999999E-2</v>
      </c>
      <c r="P711">
        <f t="shared" si="57"/>
        <v>9.6000000000000009E-3</v>
      </c>
      <c r="Q711">
        <f t="shared" si="58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9"/>
        <v>7.2247619400003987E-2</v>
      </c>
      <c r="N712">
        <f t="shared" si="56"/>
        <v>8.1699999999999995E-2</v>
      </c>
      <c r="P712">
        <f t="shared" si="57"/>
        <v>7.4099999999999999E-2</v>
      </c>
      <c r="Q712">
        <f t="shared" si="58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5.7800000000000004E-2</v>
      </c>
      <c r="K713">
        <f t="shared" si="55"/>
        <v>5.2881462950004128E-2</v>
      </c>
      <c r="L713">
        <f t="shared" si="59"/>
        <v>5.0381462950004126E-2</v>
      </c>
      <c r="N713">
        <f t="shared" si="56"/>
        <v>5.5300000000000002E-2</v>
      </c>
      <c r="P713">
        <f t="shared" si="57"/>
        <v>5.2299999999999999E-2</v>
      </c>
      <c r="Q713">
        <f t="shared" si="58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1.4000000000000002E-3</v>
      </c>
      <c r="K714">
        <f t="shared" si="55"/>
        <v>1.2957465499802267E-3</v>
      </c>
      <c r="L714">
        <f t="shared" si="59"/>
        <v>-1.2042534500197734E-3</v>
      </c>
      <c r="N714">
        <f t="shared" si="56"/>
        <v>-1.0999999999999998E-3</v>
      </c>
      <c r="P714">
        <f t="shared" si="57"/>
        <v>-1.0400000000000001E-2</v>
      </c>
      <c r="Q714">
        <f t="shared" si="58"/>
        <v>2.7799999999999998E-2</v>
      </c>
    </row>
    <row r="715" spans="1:17">
      <c r="A715">
        <v>198605</v>
      </c>
      <c r="B715">
        <v>5.1100000000000007E-2</v>
      </c>
      <c r="C715">
        <v>-1.3500000000000002E-2</v>
      </c>
      <c r="D715">
        <v>6.6799999999999998E-2</v>
      </c>
      <c r="K715">
        <f t="shared" si="55"/>
        <v>4.6634439625009606E-2</v>
      </c>
      <c r="L715">
        <f t="shared" si="59"/>
        <v>4.4134439625009604E-2</v>
      </c>
      <c r="N715">
        <f t="shared" si="56"/>
        <v>6.4299999999999996E-2</v>
      </c>
      <c r="P715">
        <f t="shared" si="57"/>
        <v>4.8600000000000004E-2</v>
      </c>
      <c r="Q715">
        <f t="shared" si="58"/>
        <v>-1.3500000000000002E-2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9"/>
        <v>9.857568625006757E-3</v>
      </c>
      <c r="N716">
        <f t="shared" si="56"/>
        <v>2.9100000000000004E-2</v>
      </c>
      <c r="P716">
        <f t="shared" si="57"/>
        <v>1.2999999999999999E-2</v>
      </c>
      <c r="Q716">
        <f t="shared" si="58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9"/>
        <v>-7.2914283599976107E-2</v>
      </c>
      <c r="N717">
        <f t="shared" si="56"/>
        <v>-7.9400000000000012E-2</v>
      </c>
      <c r="P717">
        <f t="shared" si="57"/>
        <v>-6.1800000000000001E-2</v>
      </c>
      <c r="Q717">
        <f t="shared" si="58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9"/>
        <v>4.9006380175029653E-2</v>
      </c>
      <c r="N718">
        <f t="shared" si="56"/>
        <v>3.4599999999999999E-2</v>
      </c>
      <c r="P718">
        <f t="shared" si="57"/>
        <v>6.2799999999999995E-2</v>
      </c>
      <c r="Q718">
        <f t="shared" si="58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9"/>
        <v>-7.6193538900016775E-2</v>
      </c>
      <c r="N719">
        <f t="shared" si="56"/>
        <v>-0.1174</v>
      </c>
      <c r="P719">
        <f t="shared" si="57"/>
        <v>-8.3999999999999991E-2</v>
      </c>
      <c r="Q719">
        <f t="shared" si="58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9"/>
        <v>4.043044375001778E-2</v>
      </c>
      <c r="N720">
        <f t="shared" si="56"/>
        <v>7.0300000000000001E-2</v>
      </c>
      <c r="P720">
        <f t="shared" si="57"/>
        <v>4.87E-2</v>
      </c>
      <c r="Q720">
        <f t="shared" si="58"/>
        <v>-2.5000000000000001E-2</v>
      </c>
    </row>
    <row r="721" spans="1:17">
      <c r="A721">
        <v>198611</v>
      </c>
      <c r="B721">
        <v>1.5600000000000001E-2</v>
      </c>
      <c r="C721">
        <v>-1.9099999999999999E-2</v>
      </c>
      <c r="D721">
        <v>5.3E-3</v>
      </c>
      <c r="K721">
        <f t="shared" si="55"/>
        <v>9.2820590250135854E-3</v>
      </c>
      <c r="L721">
        <f t="shared" si="59"/>
        <v>6.782059025013585E-3</v>
      </c>
      <c r="N721">
        <f t="shared" si="56"/>
        <v>2.8E-3</v>
      </c>
      <c r="P721">
        <f t="shared" si="57"/>
        <v>1.3100000000000001E-2</v>
      </c>
      <c r="Q721">
        <f t="shared" si="58"/>
        <v>-1.9099999999999999E-2</v>
      </c>
    </row>
    <row r="722" spans="1:17">
      <c r="A722">
        <v>198612</v>
      </c>
      <c r="B722">
        <v>-2.7799999999999998E-2</v>
      </c>
      <c r="C722">
        <v>1.3000000000000002E-3</v>
      </c>
      <c r="D722">
        <v>-2.2000000000000002E-2</v>
      </c>
      <c r="K722">
        <f t="shared" si="55"/>
        <v>-2.7369983075000923E-2</v>
      </c>
      <c r="L722">
        <f t="shared" si="59"/>
        <v>-2.9869983075000921E-2</v>
      </c>
      <c r="N722">
        <f t="shared" si="56"/>
        <v>-2.4500000000000001E-2</v>
      </c>
      <c r="P722">
        <f t="shared" si="57"/>
        <v>-3.0299999999999997E-2</v>
      </c>
      <c r="Q722">
        <f t="shared" si="58"/>
        <v>1.3000000000000002E-3</v>
      </c>
    </row>
    <row r="723" spans="1:17">
      <c r="A723">
        <v>198701</v>
      </c>
      <c r="B723">
        <v>0.12890000000000001</v>
      </c>
      <c r="C723">
        <v>-1.8100000000000002E-2</v>
      </c>
      <c r="D723">
        <v>0.18260000000000001</v>
      </c>
      <c r="K723">
        <f t="shared" si="55"/>
        <v>0.12291284127501288</v>
      </c>
      <c r="L723">
        <f t="shared" si="59"/>
        <v>0.12041284127501288</v>
      </c>
      <c r="N723">
        <f t="shared" si="56"/>
        <v>0.18010000000000001</v>
      </c>
      <c r="P723">
        <f t="shared" si="57"/>
        <v>0.12640000000000001</v>
      </c>
      <c r="Q723">
        <f t="shared" si="58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9"/>
        <v>5.7244300524975172E-2</v>
      </c>
      <c r="N724">
        <f t="shared" si="56"/>
        <v>5.0499999999999996E-2</v>
      </c>
      <c r="P724">
        <f t="shared" si="57"/>
        <v>4.5699999999999991E-2</v>
      </c>
      <c r="Q724">
        <f t="shared" si="58"/>
        <v>3.49E-2</v>
      </c>
    </row>
    <row r="725" spans="1:17">
      <c r="A725">
        <v>198703</v>
      </c>
      <c r="B725">
        <v>2.1099999999999997E-2</v>
      </c>
      <c r="C725">
        <v>4.5000000000000005E-3</v>
      </c>
      <c r="D725">
        <v>4.1500000000000002E-2</v>
      </c>
      <c r="K725">
        <f t="shared" si="55"/>
        <v>2.2588520124996798E-2</v>
      </c>
      <c r="L725">
        <f t="shared" si="59"/>
        <v>2.00885201249968E-2</v>
      </c>
      <c r="N725">
        <f t="shared" si="56"/>
        <v>3.9E-2</v>
      </c>
      <c r="P725">
        <f t="shared" si="57"/>
        <v>1.8599999999999998E-2</v>
      </c>
      <c r="Q725">
        <f t="shared" si="58"/>
        <v>4.5000000000000005E-3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9"/>
        <v>-2.4790220024987979E-2</v>
      </c>
      <c r="N726">
        <f t="shared" si="56"/>
        <v>2.9000000000000002E-3</v>
      </c>
      <c r="P726">
        <f t="shared" si="57"/>
        <v>-1.9199999999999998E-2</v>
      </c>
      <c r="Q726">
        <f t="shared" si="58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9"/>
        <v>7.4608875000355601E-4</v>
      </c>
      <c r="N727">
        <f t="shared" si="56"/>
        <v>5.1999999999999998E-3</v>
      </c>
      <c r="P727">
        <f t="shared" si="57"/>
        <v>2.3999999999999998E-3</v>
      </c>
      <c r="Q727">
        <f t="shared" si="58"/>
        <v>-5.0000000000000001E-3</v>
      </c>
    </row>
    <row r="728" spans="1:17">
      <c r="A728">
        <v>198706</v>
      </c>
      <c r="B728">
        <v>4.4199999999999996E-2</v>
      </c>
      <c r="C728">
        <v>-2.12E-2</v>
      </c>
      <c r="D728">
        <v>3.8100000000000002E-2</v>
      </c>
      <c r="K728">
        <f t="shared" si="55"/>
        <v>3.7187416300015076E-2</v>
      </c>
      <c r="L728">
        <f t="shared" si="59"/>
        <v>3.4687416300015074E-2</v>
      </c>
      <c r="N728">
        <f t="shared" si="56"/>
        <v>3.56E-2</v>
      </c>
      <c r="P728">
        <f t="shared" si="57"/>
        <v>4.1699999999999994E-2</v>
      </c>
      <c r="Q728">
        <f t="shared" si="58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5.6100000000000004E-2</v>
      </c>
      <c r="K729">
        <f t="shared" si="55"/>
        <v>4.0916837150004694E-2</v>
      </c>
      <c r="L729">
        <f t="shared" si="59"/>
        <v>3.8416837150004692E-2</v>
      </c>
      <c r="N729">
        <f t="shared" si="56"/>
        <v>5.3600000000000002E-2</v>
      </c>
      <c r="P729">
        <f t="shared" si="57"/>
        <v>4.0599999999999997E-2</v>
      </c>
      <c r="Q729">
        <f t="shared" si="58"/>
        <v>-6.6000000000000008E-3</v>
      </c>
    </row>
    <row r="730" spans="1:17">
      <c r="A730">
        <v>198708</v>
      </c>
      <c r="B730">
        <v>3.9900000000000005E-2</v>
      </c>
      <c r="C730">
        <v>-7.7000000000000002E-3</v>
      </c>
      <c r="D730">
        <v>4.0999999999999995E-2</v>
      </c>
      <c r="K730">
        <f t="shared" si="55"/>
        <v>3.7352976675005478E-2</v>
      </c>
      <c r="L730">
        <f t="shared" si="59"/>
        <v>3.4852976675005476E-2</v>
      </c>
      <c r="N730">
        <f t="shared" si="56"/>
        <v>3.8499999999999993E-2</v>
      </c>
      <c r="P730">
        <f t="shared" si="57"/>
        <v>3.7400000000000003E-2</v>
      </c>
      <c r="Q730">
        <f t="shared" si="58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3.4000000000000002E-3</v>
      </c>
      <c r="K731">
        <f t="shared" si="55"/>
        <v>-1.954761940000398E-2</v>
      </c>
      <c r="L731">
        <f t="shared" si="59"/>
        <v>-2.2047619400003979E-2</v>
      </c>
      <c r="N731">
        <f t="shared" si="56"/>
        <v>9.0000000000000019E-4</v>
      </c>
      <c r="P731">
        <f t="shared" si="57"/>
        <v>-2.3899999999999998E-2</v>
      </c>
      <c r="Q731">
        <f t="shared" si="58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-0.26780000000000004</v>
      </c>
      <c r="K732">
        <f t="shared" si="55"/>
        <v>-0.25418570899994025</v>
      </c>
      <c r="L732">
        <f t="shared" si="59"/>
        <v>-0.25668570899994025</v>
      </c>
      <c r="N732">
        <f t="shared" si="56"/>
        <v>-0.27030000000000004</v>
      </c>
      <c r="P732">
        <f t="shared" si="57"/>
        <v>-0.22889999999999999</v>
      </c>
      <c r="Q732">
        <f t="shared" si="58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9"/>
        <v>-6.7603488125019554E-2</v>
      </c>
      <c r="N733">
        <f t="shared" si="56"/>
        <v>-6.5000000000000002E-2</v>
      </c>
      <c r="P733">
        <f t="shared" si="57"/>
        <v>-7.669999999999999E-2</v>
      </c>
      <c r="Q733">
        <f t="shared" si="58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9"/>
        <v>6.9896938699999134E-2</v>
      </c>
      <c r="N734">
        <f t="shared" si="56"/>
        <v>7.8200000000000006E-2</v>
      </c>
      <c r="P734">
        <f t="shared" si="57"/>
        <v>6.9499999999999992E-2</v>
      </c>
      <c r="Q734">
        <f t="shared" si="58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9"/>
        <v>3.9986054900005404E-2</v>
      </c>
      <c r="N735">
        <f t="shared" si="56"/>
        <v>-2.3399999999999997E-2</v>
      </c>
      <c r="P735">
        <f t="shared" si="57"/>
        <v>4.2499999999999996E-2</v>
      </c>
      <c r="Q735">
        <f t="shared" si="58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9"/>
        <v>6.064812714997625E-2</v>
      </c>
      <c r="N736">
        <f t="shared" si="56"/>
        <v>7.2700000000000001E-2</v>
      </c>
      <c r="P736">
        <f t="shared" si="57"/>
        <v>4.9599999999999998E-2</v>
      </c>
      <c r="Q736">
        <f t="shared" si="58"/>
        <v>3.3399999999999999E-2</v>
      </c>
    </row>
    <row r="737" spans="1:17">
      <c r="A737">
        <v>198803</v>
      </c>
      <c r="B737">
        <v>-1.83E-2</v>
      </c>
      <c r="C737">
        <v>6.1399999999999996E-2</v>
      </c>
      <c r="D737">
        <v>1.7000000000000001E-3</v>
      </c>
      <c r="K737">
        <f t="shared" si="55"/>
        <v>2.0100301499563315E-3</v>
      </c>
      <c r="L737">
        <f t="shared" si="59"/>
        <v>-4.8996985004366852E-4</v>
      </c>
      <c r="N737">
        <f t="shared" si="56"/>
        <v>-7.9999999999999993E-4</v>
      </c>
      <c r="P737">
        <f t="shared" si="57"/>
        <v>-2.0799999999999999E-2</v>
      </c>
      <c r="Q737">
        <f t="shared" si="58"/>
        <v>6.1399999999999996E-2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9"/>
        <v>1.094166604999303E-2</v>
      </c>
      <c r="N738">
        <f t="shared" si="56"/>
        <v>1.5600000000000001E-2</v>
      </c>
      <c r="P738">
        <f t="shared" si="57"/>
        <v>7.7000000000000002E-3</v>
      </c>
      <c r="Q738">
        <f t="shared" si="58"/>
        <v>9.7999999999999997E-3</v>
      </c>
    </row>
    <row r="739" spans="1:17">
      <c r="A739">
        <v>198805</v>
      </c>
      <c r="B739">
        <v>2.2000000000000006E-3</v>
      </c>
      <c r="C739">
        <v>-2.6099999999999998E-2</v>
      </c>
      <c r="D739">
        <v>-9.5999999999999992E-3</v>
      </c>
      <c r="K739">
        <f t="shared" si="55"/>
        <v>-6.4334167249814368E-3</v>
      </c>
      <c r="L739">
        <f t="shared" si="59"/>
        <v>-8.9334167249814373E-3</v>
      </c>
      <c r="N739">
        <f t="shared" si="56"/>
        <v>-1.21E-2</v>
      </c>
      <c r="P739">
        <f t="shared" si="57"/>
        <v>-2.9999999999999949E-4</v>
      </c>
      <c r="Q739">
        <f t="shared" si="58"/>
        <v>-2.6099999999999998E-2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9"/>
        <v>5.7246427249985063E-2</v>
      </c>
      <c r="N740">
        <f t="shared" si="56"/>
        <v>3.5400000000000001E-2</v>
      </c>
      <c r="P740">
        <f t="shared" si="57"/>
        <v>5.0299999999999997E-2</v>
      </c>
      <c r="Q740">
        <f t="shared" si="58"/>
        <v>2.1000000000000001E-2</v>
      </c>
    </row>
    <row r="741" spans="1:17">
      <c r="A741">
        <v>198807</v>
      </c>
      <c r="B741">
        <v>-7.4000000000000003E-3</v>
      </c>
      <c r="C741">
        <v>-2.6000000000000003E-3</v>
      </c>
      <c r="D741">
        <v>-9.9000000000000008E-3</v>
      </c>
      <c r="K741">
        <f t="shared" si="55"/>
        <v>-8.2600338499981517E-3</v>
      </c>
      <c r="L741">
        <f t="shared" si="59"/>
        <v>-1.0760033849998152E-2</v>
      </c>
      <c r="N741">
        <f t="shared" si="56"/>
        <v>-1.2400000000000001E-2</v>
      </c>
      <c r="P741">
        <f t="shared" si="57"/>
        <v>-9.9000000000000008E-3</v>
      </c>
      <c r="Q741">
        <f t="shared" si="58"/>
        <v>-2.6000000000000003E-3</v>
      </c>
    </row>
    <row r="742" spans="1:17">
      <c r="A742">
        <v>198808</v>
      </c>
      <c r="B742">
        <v>-2.7200000000000005E-2</v>
      </c>
      <c r="C742">
        <v>4.0000000000000002E-4</v>
      </c>
      <c r="D742">
        <v>-0.03</v>
      </c>
      <c r="K742">
        <f t="shared" si="55"/>
        <v>-2.7067687100000289E-2</v>
      </c>
      <c r="L742">
        <f t="shared" si="59"/>
        <v>-2.9567687100000288E-2</v>
      </c>
      <c r="N742">
        <f t="shared" si="56"/>
        <v>-3.2500000000000001E-2</v>
      </c>
      <c r="P742">
        <f t="shared" si="57"/>
        <v>-2.9700000000000004E-2</v>
      </c>
      <c r="Q742">
        <f t="shared" si="58"/>
        <v>4.0000000000000002E-4</v>
      </c>
    </row>
    <row r="743" spans="1:17">
      <c r="A743">
        <v>198809</v>
      </c>
      <c r="B743">
        <v>3.9199999999999999E-2</v>
      </c>
      <c r="C743">
        <v>-1.3000000000000001E-2</v>
      </c>
      <c r="D743">
        <v>4.4299999999999999E-2</v>
      </c>
      <c r="K743">
        <f t="shared" si="55"/>
        <v>3.4899830750009242E-2</v>
      </c>
      <c r="L743">
        <f t="shared" si="59"/>
        <v>3.239983075000924E-2</v>
      </c>
      <c r="N743">
        <f t="shared" si="56"/>
        <v>4.1799999999999997E-2</v>
      </c>
      <c r="P743">
        <f t="shared" si="57"/>
        <v>3.6699999999999997E-2</v>
      </c>
      <c r="Q743">
        <f t="shared" si="58"/>
        <v>-1.3000000000000001E-2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9"/>
        <v>5.4411583000207684E-3</v>
      </c>
      <c r="N744">
        <f t="shared" si="56"/>
        <v>1.52E-2</v>
      </c>
      <c r="P744">
        <f t="shared" si="57"/>
        <v>1.5100000000000001E-2</v>
      </c>
      <c r="Q744">
        <f t="shared" si="58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9"/>
        <v>-2.5356376474987837E-2</v>
      </c>
      <c r="N745">
        <f t="shared" si="56"/>
        <v>-2.47E-2</v>
      </c>
      <c r="P745">
        <f t="shared" si="57"/>
        <v>-1.9699999999999999E-2</v>
      </c>
      <c r="Q745">
        <f t="shared" si="58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9"/>
        <v>2.5216410324985991E-2</v>
      </c>
      <c r="N746">
        <f t="shared" si="56"/>
        <v>1.8800000000000001E-2</v>
      </c>
      <c r="P746">
        <f t="shared" si="57"/>
        <v>1.8700000000000001E-2</v>
      </c>
      <c r="Q746">
        <f t="shared" si="58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9"/>
        <v>5.6656634050015788E-2</v>
      </c>
      <c r="N747">
        <f t="shared" si="56"/>
        <v>6.4000000000000001E-2</v>
      </c>
      <c r="P747">
        <f t="shared" si="57"/>
        <v>6.4000000000000001E-2</v>
      </c>
      <c r="Q747">
        <f t="shared" si="58"/>
        <v>-2.2200000000000001E-2</v>
      </c>
    </row>
    <row r="748" spans="1:17">
      <c r="A748">
        <v>198902</v>
      </c>
      <c r="B748">
        <v>-1.6399999999999998E-2</v>
      </c>
      <c r="C748">
        <v>2.8199999999999999E-2</v>
      </c>
      <c r="D748">
        <v>1.52E-2</v>
      </c>
      <c r="K748">
        <f t="shared" si="55"/>
        <v>-7.0719405500200543E-3</v>
      </c>
      <c r="L748">
        <f t="shared" si="59"/>
        <v>-9.5719405500200548E-3</v>
      </c>
      <c r="N748">
        <f t="shared" si="56"/>
        <v>1.2699999999999999E-2</v>
      </c>
      <c r="P748">
        <f t="shared" si="57"/>
        <v>-1.8899999999999997E-2</v>
      </c>
      <c r="Q748">
        <f t="shared" si="58"/>
        <v>2.8199999999999999E-2</v>
      </c>
    </row>
    <row r="749" spans="1:17">
      <c r="A749">
        <v>198903</v>
      </c>
      <c r="B749">
        <v>2.2400000000000003E-2</v>
      </c>
      <c r="C749">
        <v>6.7000000000000002E-3</v>
      </c>
      <c r="D749">
        <v>4.5400000000000003E-2</v>
      </c>
      <c r="K749">
        <f t="shared" si="55"/>
        <v>2.461624107499524E-2</v>
      </c>
      <c r="L749">
        <f t="shared" si="59"/>
        <v>2.2116241074995241E-2</v>
      </c>
      <c r="N749">
        <f t="shared" si="56"/>
        <v>4.2900000000000001E-2</v>
      </c>
      <c r="P749">
        <f t="shared" si="57"/>
        <v>1.9900000000000004E-2</v>
      </c>
      <c r="Q749">
        <f t="shared" si="58"/>
        <v>6.7000000000000002E-3</v>
      </c>
    </row>
    <row r="750" spans="1:17">
      <c r="A750">
        <v>198904</v>
      </c>
      <c r="B750">
        <v>4.9999999999999996E-2</v>
      </c>
      <c r="C750">
        <v>-6.8000000000000005E-3</v>
      </c>
      <c r="D750">
        <v>5.7099999999999998E-2</v>
      </c>
      <c r="K750">
        <f t="shared" si="55"/>
        <v>4.7750680700004836E-2</v>
      </c>
      <c r="L750">
        <f t="shared" si="59"/>
        <v>4.5250680700004833E-2</v>
      </c>
      <c r="N750">
        <f t="shared" si="56"/>
        <v>5.4599999999999996E-2</v>
      </c>
      <c r="P750">
        <f t="shared" si="57"/>
        <v>4.7499999999999994E-2</v>
      </c>
      <c r="Q750">
        <f t="shared" si="58"/>
        <v>-6.8000000000000005E-3</v>
      </c>
    </row>
    <row r="751" spans="1:17">
      <c r="A751">
        <v>198905</v>
      </c>
      <c r="B751">
        <v>4.1400000000000006E-2</v>
      </c>
      <c r="C751">
        <v>-5.0000000000000001E-4</v>
      </c>
      <c r="D751">
        <v>5.33E-2</v>
      </c>
      <c r="K751">
        <f t="shared" si="55"/>
        <v>4.1234608875000363E-2</v>
      </c>
      <c r="L751">
        <f t="shared" si="59"/>
        <v>3.8734608875000361E-2</v>
      </c>
      <c r="N751">
        <f t="shared" si="56"/>
        <v>5.0799999999999998E-2</v>
      </c>
      <c r="P751">
        <f t="shared" si="57"/>
        <v>3.8900000000000004E-2</v>
      </c>
      <c r="Q751">
        <f t="shared" si="58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9"/>
        <v>-1.2273978949992749E-2</v>
      </c>
      <c r="N752">
        <f t="shared" si="56"/>
        <v>-5.7000000000000002E-3</v>
      </c>
      <c r="P752">
        <f t="shared" si="57"/>
        <v>-8.9000000000000017E-3</v>
      </c>
      <c r="Q752">
        <f t="shared" si="58"/>
        <v>-1.0200000000000001E-2</v>
      </c>
    </row>
    <row r="753" spans="1:17">
      <c r="A753">
        <v>198907</v>
      </c>
      <c r="B753">
        <v>7.9000000000000015E-2</v>
      </c>
      <c r="C753">
        <v>-4.1600000000000005E-2</v>
      </c>
      <c r="D753">
        <v>0.10160000000000001</v>
      </c>
      <c r="K753">
        <f t="shared" si="55"/>
        <v>6.5239458400029593E-2</v>
      </c>
      <c r="L753">
        <f t="shared" si="59"/>
        <v>6.2739458400029591E-2</v>
      </c>
      <c r="N753">
        <f t="shared" si="56"/>
        <v>9.9100000000000008E-2</v>
      </c>
      <c r="P753">
        <f t="shared" si="57"/>
        <v>7.6500000000000012E-2</v>
      </c>
      <c r="Q753">
        <f t="shared" si="58"/>
        <v>-4.1600000000000005E-2</v>
      </c>
    </row>
    <row r="754" spans="1:17">
      <c r="A754">
        <v>198908</v>
      </c>
      <c r="B754">
        <v>2.18E-2</v>
      </c>
      <c r="C754">
        <v>5.6000000000000008E-3</v>
      </c>
      <c r="D754">
        <v>2.1800000000000003E-2</v>
      </c>
      <c r="K754">
        <f t="shared" si="55"/>
        <v>2.3652380599996019E-2</v>
      </c>
      <c r="L754">
        <f t="shared" si="59"/>
        <v>2.115238059999602E-2</v>
      </c>
      <c r="N754">
        <f t="shared" si="56"/>
        <v>1.9300000000000005E-2</v>
      </c>
      <c r="P754">
        <f t="shared" si="57"/>
        <v>1.9300000000000001E-2</v>
      </c>
      <c r="Q754">
        <f t="shared" si="58"/>
        <v>5.6000000000000008E-3</v>
      </c>
    </row>
    <row r="755" spans="1:17">
      <c r="A755">
        <v>198909</v>
      </c>
      <c r="B755">
        <v>-1.0999999999999994E-3</v>
      </c>
      <c r="C755">
        <v>3.2000000000000002E-3</v>
      </c>
      <c r="D755">
        <v>3.3799999999999997E-2</v>
      </c>
      <c r="K755">
        <f t="shared" si="55"/>
        <v>-4.149680000227517E-5</v>
      </c>
      <c r="L755">
        <f t="shared" si="59"/>
        <v>-2.5414968000022752E-3</v>
      </c>
      <c r="N755">
        <f t="shared" si="56"/>
        <v>3.1299999999999994E-2</v>
      </c>
      <c r="P755">
        <f t="shared" si="57"/>
        <v>-3.5999999999999995E-3</v>
      </c>
      <c r="Q755">
        <f t="shared" si="58"/>
        <v>3.2000000000000002E-3</v>
      </c>
    </row>
    <row r="756" spans="1:17">
      <c r="A756">
        <v>198910</v>
      </c>
      <c r="B756">
        <v>-2.9900000000000003E-2</v>
      </c>
      <c r="C756">
        <v>-3.2400000000000005E-2</v>
      </c>
      <c r="D756">
        <v>-4.3299999999999998E-2</v>
      </c>
      <c r="K756">
        <f t="shared" si="55"/>
        <v>-4.0617344899976961E-2</v>
      </c>
      <c r="L756">
        <f t="shared" si="59"/>
        <v>-4.3117344899976963E-2</v>
      </c>
      <c r="N756">
        <f t="shared" si="56"/>
        <v>-4.58E-2</v>
      </c>
      <c r="P756">
        <f t="shared" si="57"/>
        <v>-3.2400000000000005E-2</v>
      </c>
      <c r="Q756">
        <f t="shared" si="58"/>
        <v>-3.2400000000000005E-2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9"/>
        <v>1.0598300100008819E-2</v>
      </c>
      <c r="N757">
        <f t="shared" si="56"/>
        <v>0.01</v>
      </c>
      <c r="P757">
        <f t="shared" si="57"/>
        <v>1.47E-2</v>
      </c>
      <c r="Q757">
        <f t="shared" si="58"/>
        <v>-1.24E-2</v>
      </c>
    </row>
    <row r="758" spans="1:17">
      <c r="A758">
        <v>198912</v>
      </c>
      <c r="B758">
        <v>1.77E-2</v>
      </c>
      <c r="C758">
        <v>-2.3700000000000002E-2</v>
      </c>
      <c r="D758">
        <v>-4.4000000000000003E-3</v>
      </c>
      <c r="K758">
        <f t="shared" si="55"/>
        <v>9.8604606750168546E-3</v>
      </c>
      <c r="L758">
        <f t="shared" si="59"/>
        <v>7.3604606750168541E-3</v>
      </c>
      <c r="N758">
        <f t="shared" si="56"/>
        <v>-6.8999999999999999E-3</v>
      </c>
      <c r="P758">
        <f t="shared" si="57"/>
        <v>1.52E-2</v>
      </c>
      <c r="Q758">
        <f t="shared" si="58"/>
        <v>-2.3700000000000002E-2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9"/>
        <v>-7.9434778124991112E-2</v>
      </c>
      <c r="N759">
        <f t="shared" si="56"/>
        <v>-0.11220000000000001</v>
      </c>
      <c r="P759">
        <f t="shared" si="57"/>
        <v>-7.5300000000000006E-2</v>
      </c>
      <c r="Q759">
        <f t="shared" si="58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9"/>
        <v>1.7508587824993101E-2</v>
      </c>
      <c r="N760">
        <f t="shared" si="56"/>
        <v>1.1899999999999999E-2</v>
      </c>
      <c r="P760">
        <f t="shared" si="57"/>
        <v>1.4299999999999998E-2</v>
      </c>
      <c r="Q760">
        <f t="shared" si="58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3.8900000000000004E-2</v>
      </c>
      <c r="K761">
        <f t="shared" si="55"/>
        <v>2.9529420849989614E-2</v>
      </c>
      <c r="L761">
        <f t="shared" si="59"/>
        <v>2.7029420849989615E-2</v>
      </c>
      <c r="N761">
        <f t="shared" si="56"/>
        <v>3.6400000000000002E-2</v>
      </c>
      <c r="P761">
        <f t="shared" si="57"/>
        <v>2.2200000000000001E-2</v>
      </c>
      <c r="Q761">
        <f t="shared" si="58"/>
        <v>1.46E-2</v>
      </c>
    </row>
    <row r="762" spans="1:17">
      <c r="A762">
        <v>199004</v>
      </c>
      <c r="B762">
        <v>-2.6699999999999998E-2</v>
      </c>
      <c r="C762">
        <v>-4.5000000000000005E-3</v>
      </c>
      <c r="D762">
        <v>-1.5800000000000002E-2</v>
      </c>
      <c r="K762">
        <f t="shared" si="55"/>
        <v>-2.8188520124996799E-2</v>
      </c>
      <c r="L762">
        <f t="shared" si="59"/>
        <v>-3.0688520124996798E-2</v>
      </c>
      <c r="N762">
        <f t="shared" si="56"/>
        <v>-1.83E-2</v>
      </c>
      <c r="P762">
        <f t="shared" si="57"/>
        <v>-2.9199999999999997E-2</v>
      </c>
      <c r="Q762">
        <f t="shared" si="58"/>
        <v>-4.5000000000000005E-3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9"/>
        <v>8.0031974400018205E-2</v>
      </c>
      <c r="N763">
        <f t="shared" si="56"/>
        <v>0.1278</v>
      </c>
      <c r="P763">
        <f t="shared" si="57"/>
        <v>8.8499999999999995E-2</v>
      </c>
      <c r="Q763">
        <f t="shared" si="58"/>
        <v>-2.5600000000000001E-2</v>
      </c>
    </row>
    <row r="764" spans="1:17">
      <c r="A764">
        <v>199006</v>
      </c>
      <c r="B764">
        <v>-4.6000000000000017E-3</v>
      </c>
      <c r="C764">
        <v>1.3600000000000001E-2</v>
      </c>
      <c r="D764">
        <v>1.6E-2</v>
      </c>
      <c r="K764">
        <f t="shared" si="55"/>
        <v>-1.0136140000967415E-4</v>
      </c>
      <c r="L764">
        <f t="shared" si="59"/>
        <v>-2.6013614000096742E-3</v>
      </c>
      <c r="N764">
        <f t="shared" si="56"/>
        <v>1.35E-2</v>
      </c>
      <c r="P764">
        <f t="shared" si="57"/>
        <v>-7.1000000000000021E-3</v>
      </c>
      <c r="Q764">
        <f t="shared" si="58"/>
        <v>1.3600000000000001E-2</v>
      </c>
    </row>
    <row r="765" spans="1:17">
      <c r="A765">
        <v>199007</v>
      </c>
      <c r="B765">
        <v>-1.2199999999999999E-2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9"/>
        <v>-2.4921171524978022E-2</v>
      </c>
      <c r="N765">
        <f t="shared" si="56"/>
        <v>-0.02</v>
      </c>
      <c r="P765">
        <f t="shared" si="57"/>
        <v>-1.47E-2</v>
      </c>
      <c r="Q765">
        <f t="shared" si="58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-0.10310000000000001</v>
      </c>
      <c r="K766">
        <f t="shared" si="55"/>
        <v>-0.1066758480999747</v>
      </c>
      <c r="L766">
        <f t="shared" si="59"/>
        <v>-0.1091758480999747</v>
      </c>
      <c r="N766">
        <f t="shared" si="56"/>
        <v>-0.10560000000000001</v>
      </c>
      <c r="P766">
        <f t="shared" si="57"/>
        <v>-9.7400000000000014E-2</v>
      </c>
      <c r="Q766">
        <f t="shared" si="58"/>
        <v>-3.56E-2</v>
      </c>
    </row>
    <row r="767" spans="1:17">
      <c r="A767">
        <v>199009</v>
      </c>
      <c r="B767">
        <v>-5.5200000000000006E-2</v>
      </c>
      <c r="C767">
        <v>-3.6700000000000003E-2</v>
      </c>
      <c r="D767">
        <v>-6.54E-2</v>
      </c>
      <c r="K767">
        <f t="shared" si="55"/>
        <v>-6.73397085749739E-2</v>
      </c>
      <c r="L767">
        <f t="shared" si="59"/>
        <v>-6.9839708574973902E-2</v>
      </c>
      <c r="N767">
        <f t="shared" si="56"/>
        <v>-6.7900000000000002E-2</v>
      </c>
      <c r="P767">
        <f t="shared" si="57"/>
        <v>-5.7700000000000008E-2</v>
      </c>
      <c r="Q767">
        <f t="shared" si="58"/>
        <v>-3.6700000000000003E-2</v>
      </c>
    </row>
    <row r="768" spans="1:17">
      <c r="A768">
        <v>199010</v>
      </c>
      <c r="B768">
        <v>-1.2399999999999998E-2</v>
      </c>
      <c r="C768">
        <v>-5.5300000000000002E-2</v>
      </c>
      <c r="D768">
        <v>-6.9999999999999993E-3</v>
      </c>
      <c r="K768">
        <f t="shared" si="55"/>
        <v>-3.0692258424960667E-2</v>
      </c>
      <c r="L768">
        <f t="shared" si="59"/>
        <v>-3.3192258424960666E-2</v>
      </c>
      <c r="N768">
        <f t="shared" si="56"/>
        <v>-9.4999999999999998E-3</v>
      </c>
      <c r="P768">
        <f t="shared" si="57"/>
        <v>-1.4899999999999998E-2</v>
      </c>
      <c r="Q768">
        <f t="shared" si="58"/>
        <v>-5.5300000000000002E-2</v>
      </c>
    </row>
    <row r="769" spans="1:17">
      <c r="A769">
        <v>199011</v>
      </c>
      <c r="B769">
        <v>6.9199999999999998E-2</v>
      </c>
      <c r="C769">
        <v>4.5000000000000005E-3</v>
      </c>
      <c r="D769">
        <v>5.5199999999999999E-2</v>
      </c>
      <c r="K769">
        <f t="shared" si="55"/>
        <v>7.0688520124996795E-2</v>
      </c>
      <c r="L769">
        <f t="shared" si="59"/>
        <v>6.8188520124996793E-2</v>
      </c>
      <c r="N769">
        <f t="shared" si="56"/>
        <v>5.2699999999999997E-2</v>
      </c>
      <c r="P769">
        <f t="shared" si="57"/>
        <v>6.6699999999999995E-2</v>
      </c>
      <c r="Q769">
        <f t="shared" si="58"/>
        <v>4.5000000000000005E-3</v>
      </c>
    </row>
    <row r="770" spans="1:17">
      <c r="A770">
        <v>199012</v>
      </c>
      <c r="B770">
        <v>3.0600000000000002E-2</v>
      </c>
      <c r="C770">
        <v>8.199999999999999E-3</v>
      </c>
      <c r="D770">
        <v>1.7100000000000001E-2</v>
      </c>
      <c r="K770">
        <f t="shared" si="55"/>
        <v>3.3312414449994172E-2</v>
      </c>
      <c r="L770">
        <f t="shared" si="59"/>
        <v>3.0812414449994174E-2</v>
      </c>
      <c r="N770">
        <f t="shared" si="56"/>
        <v>1.46E-2</v>
      </c>
      <c r="P770">
        <f t="shared" si="57"/>
        <v>2.8100000000000003E-2</v>
      </c>
      <c r="Q770">
        <f t="shared" si="58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6.0599999999999994E-2</v>
      </c>
      <c r="K771">
        <f t="shared" ref="K771:K834" si="60">SUMPRODUCT($G$12:$H$12,B771:C771)</f>
        <v>6.4768960174972773E-2</v>
      </c>
      <c r="L771">
        <f t="shared" si="59"/>
        <v>6.2268960174972771E-2</v>
      </c>
      <c r="N771">
        <f t="shared" ref="N771:N834" si="61">D771-$I$7</f>
        <v>5.8099999999999992E-2</v>
      </c>
      <c r="P771">
        <f t="shared" ref="P771:P834" si="62">B771-0.0025</f>
        <v>4.9600000000000005E-2</v>
      </c>
      <c r="Q771">
        <f t="shared" ref="Q771:Q834" si="63">C771</f>
        <v>3.8300000000000001E-2</v>
      </c>
    </row>
    <row r="772" spans="1:17">
      <c r="A772">
        <v>199102</v>
      </c>
      <c r="B772">
        <v>7.6700000000000004E-2</v>
      </c>
      <c r="C772">
        <v>3.9900000000000005E-2</v>
      </c>
      <c r="D772">
        <v>9.3399999999999997E-2</v>
      </c>
      <c r="K772">
        <f t="shared" si="60"/>
        <v>8.9898211774971634E-2</v>
      </c>
      <c r="L772">
        <f t="shared" ref="L772:L835" si="64">K772-$I$7</f>
        <v>8.7398211774971632E-2</v>
      </c>
      <c r="N772">
        <f t="shared" si="61"/>
        <v>9.0899999999999995E-2</v>
      </c>
      <c r="P772">
        <f t="shared" si="62"/>
        <v>7.4200000000000002E-2</v>
      </c>
      <c r="Q772">
        <f t="shared" si="63"/>
        <v>3.9900000000000005E-2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4"/>
        <v>4.1300507749972265E-2</v>
      </c>
      <c r="N773">
        <f t="shared" si="61"/>
        <v>6.2600000000000003E-2</v>
      </c>
      <c r="P773">
        <f t="shared" si="62"/>
        <v>2.8400000000000002E-2</v>
      </c>
      <c r="Q773">
        <f t="shared" si="63"/>
        <v>3.9E-2</v>
      </c>
    </row>
    <row r="774" spans="1:17">
      <c r="A774">
        <v>199104</v>
      </c>
      <c r="B774">
        <v>2.4999999999999996E-3</v>
      </c>
      <c r="C774">
        <v>4.7999999999999996E-3</v>
      </c>
      <c r="D774">
        <v>-1.47E-2</v>
      </c>
      <c r="K774">
        <f t="shared" si="60"/>
        <v>4.0877547999965853E-3</v>
      </c>
      <c r="L774">
        <f t="shared" si="64"/>
        <v>1.5877547999965853E-3</v>
      </c>
      <c r="N774">
        <f t="shared" si="61"/>
        <v>-1.72E-2</v>
      </c>
      <c r="P774">
        <f t="shared" si="62"/>
        <v>0</v>
      </c>
      <c r="Q774">
        <f t="shared" si="63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4"/>
        <v>3.7376871000002844E-2</v>
      </c>
      <c r="N775">
        <f t="shared" si="61"/>
        <v>3.8099999999999995E-2</v>
      </c>
      <c r="P775">
        <f t="shared" si="62"/>
        <v>3.8699999999999998E-2</v>
      </c>
      <c r="Q775">
        <f t="shared" si="63"/>
        <v>-4.0000000000000001E-3</v>
      </c>
    </row>
    <row r="776" spans="1:17">
      <c r="A776">
        <v>199106</v>
      </c>
      <c r="B776">
        <v>-4.5200000000000004E-2</v>
      </c>
      <c r="C776">
        <v>1.5E-3</v>
      </c>
      <c r="D776">
        <v>-4.6300000000000001E-2</v>
      </c>
      <c r="K776">
        <f t="shared" si="60"/>
        <v>-4.4703826625001074E-2</v>
      </c>
      <c r="L776">
        <f t="shared" si="64"/>
        <v>-4.7203826625001076E-2</v>
      </c>
      <c r="N776">
        <f t="shared" si="61"/>
        <v>-4.8800000000000003E-2</v>
      </c>
      <c r="P776">
        <f t="shared" si="62"/>
        <v>-4.7700000000000006E-2</v>
      </c>
      <c r="Q776">
        <f t="shared" si="63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4"/>
        <v>4.178988152500647E-2</v>
      </c>
      <c r="N777">
        <f t="shared" si="61"/>
        <v>7.4900000000000008E-2</v>
      </c>
      <c r="P777">
        <f t="shared" si="62"/>
        <v>4.48E-2</v>
      </c>
      <c r="Q777">
        <f t="shared" si="63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4"/>
        <v>3.055943777498869E-2</v>
      </c>
      <c r="N778">
        <f t="shared" si="61"/>
        <v>5.5599999999999997E-2</v>
      </c>
      <c r="P778">
        <f t="shared" si="62"/>
        <v>2.53E-2</v>
      </c>
      <c r="Q778">
        <f t="shared" si="63"/>
        <v>1.5900000000000001E-2</v>
      </c>
    </row>
    <row r="779" spans="1:17">
      <c r="A779">
        <v>199109</v>
      </c>
      <c r="B779">
        <v>-1.1300000000000001E-2</v>
      </c>
      <c r="C779">
        <v>1.6399999999999998E-2</v>
      </c>
      <c r="D779">
        <v>6.8000000000000005E-3</v>
      </c>
      <c r="K779">
        <f t="shared" si="60"/>
        <v>-5.8751711000116658E-3</v>
      </c>
      <c r="L779">
        <f t="shared" si="64"/>
        <v>-8.3751711000116663E-3</v>
      </c>
      <c r="N779">
        <f t="shared" si="61"/>
        <v>4.3E-3</v>
      </c>
      <c r="P779">
        <f t="shared" si="62"/>
        <v>-1.3800000000000002E-2</v>
      </c>
      <c r="Q779">
        <f t="shared" si="63"/>
        <v>1.6399999999999998E-2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4"/>
        <v>1.7279336224994241E-2</v>
      </c>
      <c r="N780">
        <f t="shared" si="61"/>
        <v>3.4599999999999999E-2</v>
      </c>
      <c r="P780">
        <f t="shared" si="62"/>
        <v>1.46E-2</v>
      </c>
      <c r="Q780">
        <f t="shared" si="63"/>
        <v>8.1000000000000013E-3</v>
      </c>
    </row>
    <row r="781" spans="1:17">
      <c r="A781">
        <v>199111</v>
      </c>
      <c r="B781">
        <v>-3.8000000000000006E-2</v>
      </c>
      <c r="C781">
        <v>-5.0000000000000001E-3</v>
      </c>
      <c r="D781">
        <v>-5.4100000000000002E-2</v>
      </c>
      <c r="K781">
        <f t="shared" si="60"/>
        <v>-3.9653911249996447E-2</v>
      </c>
      <c r="L781">
        <f t="shared" si="64"/>
        <v>-4.2153911249996449E-2</v>
      </c>
      <c r="N781">
        <f t="shared" si="61"/>
        <v>-5.6600000000000004E-2</v>
      </c>
      <c r="P781">
        <f t="shared" si="62"/>
        <v>-4.0500000000000008E-2</v>
      </c>
      <c r="Q781">
        <f t="shared" si="63"/>
        <v>-5.0000000000000001E-3</v>
      </c>
    </row>
    <row r="782" spans="1:17">
      <c r="A782">
        <v>199112</v>
      </c>
      <c r="B782">
        <v>0.11219999999999999</v>
      </c>
      <c r="C782">
        <v>-2.2400000000000003E-2</v>
      </c>
      <c r="D782">
        <v>0.1777</v>
      </c>
      <c r="K782">
        <f t="shared" si="60"/>
        <v>0.10479047760001592</v>
      </c>
      <c r="L782">
        <f t="shared" si="64"/>
        <v>0.10229047760001592</v>
      </c>
      <c r="N782">
        <f t="shared" si="61"/>
        <v>0.17519999999999999</v>
      </c>
      <c r="P782">
        <f t="shared" si="62"/>
        <v>0.10969999999999999</v>
      </c>
      <c r="Q782">
        <f t="shared" si="63"/>
        <v>-2.2400000000000003E-2</v>
      </c>
    </row>
    <row r="783" spans="1:17">
      <c r="A783">
        <v>199201</v>
      </c>
      <c r="B783">
        <v>-2.4999999999999996E-3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4"/>
        <v>2.2984178349939838E-2</v>
      </c>
      <c r="N783">
        <f t="shared" si="61"/>
        <v>2.1900000000000003E-2</v>
      </c>
      <c r="P783">
        <f t="shared" si="62"/>
        <v>-4.9999999999999992E-3</v>
      </c>
      <c r="Q783">
        <f t="shared" si="63"/>
        <v>8.4600000000000009E-2</v>
      </c>
    </row>
    <row r="784" spans="1:17">
      <c r="A784">
        <v>199202</v>
      </c>
      <c r="B784">
        <v>1.3700000000000002E-2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4"/>
        <v>1.4077805574993814E-2</v>
      </c>
      <c r="N784">
        <f t="shared" si="61"/>
        <v>5.7999999999999996E-3</v>
      </c>
      <c r="P784">
        <f t="shared" si="62"/>
        <v>1.1200000000000002E-2</v>
      </c>
      <c r="Q784">
        <f t="shared" si="63"/>
        <v>8.6999999999999994E-3</v>
      </c>
    </row>
    <row r="785" spans="1:17">
      <c r="A785">
        <v>199203</v>
      </c>
      <c r="B785">
        <v>-2.3200000000000002E-2</v>
      </c>
      <c r="C785">
        <v>-1.0400000000000001E-2</v>
      </c>
      <c r="D785">
        <v>-4.0700000000000007E-2</v>
      </c>
      <c r="K785">
        <f t="shared" si="60"/>
        <v>-2.6640135399992604E-2</v>
      </c>
      <c r="L785">
        <f t="shared" si="64"/>
        <v>-2.9140135399992603E-2</v>
      </c>
      <c r="N785">
        <f t="shared" si="61"/>
        <v>-4.3200000000000009E-2</v>
      </c>
      <c r="P785">
        <f t="shared" si="62"/>
        <v>-2.5700000000000001E-2</v>
      </c>
      <c r="Q785">
        <f t="shared" si="63"/>
        <v>-1.0400000000000001E-2</v>
      </c>
    </row>
    <row r="786" spans="1:17">
      <c r="A786">
        <v>199204</v>
      </c>
      <c r="B786">
        <v>1.3900000000000001E-2</v>
      </c>
      <c r="C786">
        <v>-6.0599999999999994E-2</v>
      </c>
      <c r="D786">
        <v>-2.5600000000000001E-2</v>
      </c>
      <c r="K786">
        <f t="shared" si="60"/>
        <v>-6.1454043499568987E-3</v>
      </c>
      <c r="L786">
        <f t="shared" si="64"/>
        <v>-8.6454043499568992E-3</v>
      </c>
      <c r="N786">
        <f t="shared" si="61"/>
        <v>-2.81E-2</v>
      </c>
      <c r="P786">
        <f t="shared" si="62"/>
        <v>1.14E-2</v>
      </c>
      <c r="Q786">
        <f t="shared" si="63"/>
        <v>-6.0599999999999994E-2</v>
      </c>
    </row>
    <row r="787" spans="1:17">
      <c r="A787">
        <v>199205</v>
      </c>
      <c r="B787">
        <v>5.8000000000000005E-3</v>
      </c>
      <c r="C787">
        <v>4.0999999999999995E-3</v>
      </c>
      <c r="D787">
        <v>2.3199999999999998E-2</v>
      </c>
      <c r="K787">
        <f t="shared" si="60"/>
        <v>7.1562072249970847E-3</v>
      </c>
      <c r="L787">
        <f t="shared" si="64"/>
        <v>4.6562072249970842E-3</v>
      </c>
      <c r="N787">
        <f t="shared" si="61"/>
        <v>2.07E-2</v>
      </c>
      <c r="P787">
        <f t="shared" si="62"/>
        <v>3.3000000000000004E-3</v>
      </c>
      <c r="Q787">
        <f t="shared" si="63"/>
        <v>4.0999999999999995E-3</v>
      </c>
    </row>
    <row r="788" spans="1:17">
      <c r="A788">
        <v>199206</v>
      </c>
      <c r="B788">
        <v>-2.0199999999999999E-2</v>
      </c>
      <c r="C788">
        <v>-3.0699999999999998E-2</v>
      </c>
      <c r="D788">
        <v>-4.0899999999999999E-2</v>
      </c>
      <c r="K788">
        <f t="shared" si="60"/>
        <v>-3.0355015074978165E-2</v>
      </c>
      <c r="L788">
        <f t="shared" si="64"/>
        <v>-3.2855015074978164E-2</v>
      </c>
      <c r="N788">
        <f t="shared" si="61"/>
        <v>-4.3400000000000001E-2</v>
      </c>
      <c r="P788">
        <f t="shared" si="62"/>
        <v>-2.2699999999999998E-2</v>
      </c>
      <c r="Q788">
        <f t="shared" si="63"/>
        <v>-3.0699999999999998E-2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4"/>
        <v>3.6613010525003625E-2</v>
      </c>
      <c r="N789">
        <f t="shared" si="61"/>
        <v>3.8200000000000005E-2</v>
      </c>
      <c r="P789">
        <f t="shared" si="62"/>
        <v>3.8300000000000001E-2</v>
      </c>
      <c r="Q789">
        <f t="shared" si="63"/>
        <v>-5.1000000000000004E-3</v>
      </c>
    </row>
    <row r="790" spans="1:17">
      <c r="A790">
        <v>199208</v>
      </c>
      <c r="B790">
        <v>-2.1199999999999997E-2</v>
      </c>
      <c r="C790">
        <v>-1.4000000000000002E-3</v>
      </c>
      <c r="D790">
        <v>-4.5599999999999995E-2</v>
      </c>
      <c r="K790">
        <f t="shared" si="60"/>
        <v>-2.1663095149999E-2</v>
      </c>
      <c r="L790">
        <f t="shared" si="64"/>
        <v>-2.4163095149998998E-2</v>
      </c>
      <c r="N790">
        <f t="shared" si="61"/>
        <v>-4.8099999999999997E-2</v>
      </c>
      <c r="P790">
        <f t="shared" si="62"/>
        <v>-2.3699999999999995E-2</v>
      </c>
      <c r="Q790">
        <f t="shared" si="63"/>
        <v>-1.4000000000000002E-3</v>
      </c>
    </row>
    <row r="791" spans="1:17">
      <c r="A791">
        <v>199209</v>
      </c>
      <c r="B791">
        <v>1.4499999999999999E-2</v>
      </c>
      <c r="C791">
        <v>4.8999999999999998E-3</v>
      </c>
      <c r="D791">
        <v>4.2599999999999999E-2</v>
      </c>
      <c r="K791">
        <f t="shared" si="60"/>
        <v>1.6120833024996513E-2</v>
      </c>
      <c r="L791">
        <f t="shared" si="64"/>
        <v>1.3620833024996512E-2</v>
      </c>
      <c r="N791">
        <f t="shared" si="61"/>
        <v>4.0099999999999997E-2</v>
      </c>
      <c r="P791">
        <f t="shared" si="62"/>
        <v>1.1999999999999999E-2</v>
      </c>
      <c r="Q791">
        <f t="shared" si="63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4"/>
        <v>1.6946427249985067E-2</v>
      </c>
      <c r="N792">
        <f t="shared" si="61"/>
        <v>5.0499999999999996E-2</v>
      </c>
      <c r="P792">
        <f t="shared" si="62"/>
        <v>0.01</v>
      </c>
      <c r="Q792">
        <f t="shared" si="63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4"/>
        <v>5.363664727497304E-2</v>
      </c>
      <c r="N793">
        <f t="shared" si="61"/>
        <v>8.2699999999999996E-2</v>
      </c>
      <c r="P793">
        <f t="shared" si="62"/>
        <v>4.1099999999999998E-2</v>
      </c>
      <c r="Q793">
        <f t="shared" si="63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4"/>
        <v>2.1124063574988125E-2</v>
      </c>
      <c r="N794">
        <f t="shared" si="61"/>
        <v>5.5099999999999996E-2</v>
      </c>
      <c r="P794">
        <f t="shared" si="62"/>
        <v>1.5600000000000001E-2</v>
      </c>
      <c r="Q794">
        <f t="shared" si="63"/>
        <v>1.67E-2</v>
      </c>
    </row>
    <row r="795" spans="1:17">
      <c r="A795">
        <v>199301</v>
      </c>
      <c r="B795">
        <v>1.1600000000000001E-2</v>
      </c>
      <c r="C795">
        <v>1.8500000000000003E-2</v>
      </c>
      <c r="D795">
        <v>6.3100000000000003E-2</v>
      </c>
      <c r="K795">
        <f t="shared" si="60"/>
        <v>1.7719471624986844E-2</v>
      </c>
      <c r="L795">
        <f t="shared" si="64"/>
        <v>1.5219471624986844E-2</v>
      </c>
      <c r="N795">
        <f t="shared" si="61"/>
        <v>6.0600000000000001E-2</v>
      </c>
      <c r="P795">
        <f t="shared" si="62"/>
        <v>9.1000000000000004E-3</v>
      </c>
      <c r="Q795">
        <f t="shared" si="63"/>
        <v>1.8500000000000003E-2</v>
      </c>
    </row>
    <row r="796" spans="1:17">
      <c r="A796">
        <v>199302</v>
      </c>
      <c r="B796">
        <v>3.4000000000000002E-3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4"/>
        <v>-1.0644300524975179E-2</v>
      </c>
      <c r="N796">
        <f t="shared" si="61"/>
        <v>-8.199999999999999E-3</v>
      </c>
      <c r="P796">
        <f t="shared" si="62"/>
        <v>9.0000000000000019E-4</v>
      </c>
      <c r="Q796">
        <f t="shared" si="63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4"/>
        <v>2.3760799174998362E-2</v>
      </c>
      <c r="N797">
        <f t="shared" si="61"/>
        <v>4.4499999999999998E-2</v>
      </c>
      <c r="P797">
        <f t="shared" si="62"/>
        <v>2.3E-2</v>
      </c>
      <c r="Q797">
        <f t="shared" si="63"/>
        <v>2.3E-3</v>
      </c>
    </row>
    <row r="798" spans="1:17">
      <c r="A798">
        <v>199304</v>
      </c>
      <c r="B798">
        <v>-2.81E-2</v>
      </c>
      <c r="C798">
        <v>-6.8000000000000005E-3</v>
      </c>
      <c r="D798">
        <v>-3.2500000000000001E-2</v>
      </c>
      <c r="K798">
        <f t="shared" si="60"/>
        <v>-3.0349319299995164E-2</v>
      </c>
      <c r="L798">
        <f t="shared" si="64"/>
        <v>-3.2849319299995162E-2</v>
      </c>
      <c r="N798">
        <f t="shared" si="61"/>
        <v>-3.5000000000000003E-2</v>
      </c>
      <c r="P798">
        <f t="shared" si="62"/>
        <v>-3.0599999999999999E-2</v>
      </c>
      <c r="Q798">
        <f t="shared" si="63"/>
        <v>-6.8000000000000005E-3</v>
      </c>
    </row>
    <row r="799" spans="1:17">
      <c r="A799">
        <v>199305</v>
      </c>
      <c r="B799">
        <v>3.1100000000000003E-2</v>
      </c>
      <c r="C799">
        <v>2.0800000000000003E-2</v>
      </c>
      <c r="D799">
        <v>8.0600000000000005E-2</v>
      </c>
      <c r="K799">
        <f t="shared" si="60"/>
        <v>3.7980270799985213E-2</v>
      </c>
      <c r="L799">
        <f t="shared" si="64"/>
        <v>3.5480270799985211E-2</v>
      </c>
      <c r="N799">
        <f t="shared" si="61"/>
        <v>7.8100000000000003E-2</v>
      </c>
      <c r="P799">
        <f t="shared" si="62"/>
        <v>2.8600000000000004E-2</v>
      </c>
      <c r="Q799">
        <f t="shared" si="63"/>
        <v>2.0800000000000003E-2</v>
      </c>
    </row>
    <row r="800" spans="1:17">
      <c r="A800">
        <v>199306</v>
      </c>
      <c r="B800">
        <v>5.5999999999999999E-3</v>
      </c>
      <c r="C800">
        <v>-2.6000000000000003E-3</v>
      </c>
      <c r="D800">
        <v>2.98E-2</v>
      </c>
      <c r="K800">
        <f t="shared" si="60"/>
        <v>4.7399661500018495E-3</v>
      </c>
      <c r="L800">
        <f t="shared" si="64"/>
        <v>2.2399661500018494E-3</v>
      </c>
      <c r="N800">
        <f t="shared" si="61"/>
        <v>2.7300000000000001E-2</v>
      </c>
      <c r="P800">
        <f t="shared" si="62"/>
        <v>3.0999999999999999E-3</v>
      </c>
      <c r="Q800">
        <f t="shared" si="63"/>
        <v>-2.6000000000000003E-3</v>
      </c>
    </row>
    <row r="801" spans="1:17">
      <c r="A801">
        <v>199307</v>
      </c>
      <c r="B801">
        <v>-1.0000000000000005E-3</v>
      </c>
      <c r="C801">
        <v>9.0000000000000011E-3</v>
      </c>
      <c r="D801">
        <v>8.3000000000000001E-3</v>
      </c>
      <c r="K801">
        <f t="shared" si="60"/>
        <v>1.977040249993599E-3</v>
      </c>
      <c r="L801">
        <f t="shared" si="64"/>
        <v>-5.2295975000640109E-4</v>
      </c>
      <c r="N801">
        <f t="shared" si="61"/>
        <v>5.7999999999999996E-3</v>
      </c>
      <c r="P801">
        <f t="shared" si="62"/>
        <v>-3.5000000000000005E-3</v>
      </c>
      <c r="Q801">
        <f t="shared" si="63"/>
        <v>9.0000000000000011E-3</v>
      </c>
    </row>
    <row r="802" spans="1:17">
      <c r="A802">
        <v>199308</v>
      </c>
      <c r="B802">
        <v>3.9600000000000003E-2</v>
      </c>
      <c r="C802">
        <v>1.4000000000000002E-3</v>
      </c>
      <c r="D802">
        <v>8.5999999999999993E-2</v>
      </c>
      <c r="K802">
        <f t="shared" si="60"/>
        <v>4.0063095149999006E-2</v>
      </c>
      <c r="L802">
        <f t="shared" si="64"/>
        <v>3.7563095149999004E-2</v>
      </c>
      <c r="N802">
        <f t="shared" si="61"/>
        <v>8.3499999999999991E-2</v>
      </c>
      <c r="P802">
        <f t="shared" si="62"/>
        <v>3.7100000000000001E-2</v>
      </c>
      <c r="Q802">
        <f t="shared" si="63"/>
        <v>1.4000000000000002E-3</v>
      </c>
    </row>
    <row r="803" spans="1:17">
      <c r="A803">
        <v>199309</v>
      </c>
      <c r="B803">
        <v>1.4000000000000004E-3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4"/>
        <v>8.7573110499788061E-3</v>
      </c>
      <c r="N803">
        <f t="shared" si="61"/>
        <v>4.65E-2</v>
      </c>
      <c r="P803">
        <f t="shared" si="62"/>
        <v>-1.0999999999999996E-3</v>
      </c>
      <c r="Q803">
        <f t="shared" si="63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4"/>
        <v>2.0514879674985564E-2</v>
      </c>
      <c r="N804">
        <f t="shared" si="61"/>
        <v>6.0999999999999995E-3</v>
      </c>
      <c r="P804">
        <f t="shared" si="62"/>
        <v>1.3799999999999998E-2</v>
      </c>
      <c r="Q804">
        <f t="shared" si="63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4"/>
        <v>-2.2637839424991962E-2</v>
      </c>
      <c r="N805">
        <f t="shared" si="61"/>
        <v>-5.0599999999999999E-2</v>
      </c>
      <c r="P805">
        <f t="shared" si="62"/>
        <v>-1.89E-2</v>
      </c>
      <c r="Q805">
        <f t="shared" si="63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4"/>
        <v>2.0269386999991468E-2</v>
      </c>
      <c r="N806">
        <f t="shared" si="61"/>
        <v>2.8800000000000003E-2</v>
      </c>
      <c r="P806">
        <f t="shared" si="62"/>
        <v>1.6300000000000002E-2</v>
      </c>
      <c r="Q806">
        <f t="shared" si="63"/>
        <v>1.2E-2</v>
      </c>
    </row>
    <row r="807" spans="1:17">
      <c r="A807">
        <v>199401</v>
      </c>
      <c r="B807">
        <v>3.1200000000000002E-2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4"/>
        <v>3.0386989474996375E-2</v>
      </c>
      <c r="N807">
        <f t="shared" si="61"/>
        <v>4.65E-2</v>
      </c>
      <c r="P807">
        <f t="shared" si="62"/>
        <v>2.8700000000000003E-2</v>
      </c>
      <c r="Q807">
        <f t="shared" si="63"/>
        <v>5.1000000000000004E-3</v>
      </c>
    </row>
    <row r="808" spans="1:17">
      <c r="A808">
        <v>199402</v>
      </c>
      <c r="B808">
        <v>-2.3399999999999997E-2</v>
      </c>
      <c r="C808">
        <v>2.7999999999999997E-2</v>
      </c>
      <c r="D808">
        <v>-1.1899999999999999E-2</v>
      </c>
      <c r="K808">
        <f t="shared" si="60"/>
        <v>-1.4138097000019912E-2</v>
      </c>
      <c r="L808">
        <f t="shared" si="64"/>
        <v>-1.6638097000019912E-2</v>
      </c>
      <c r="N808">
        <f t="shared" si="61"/>
        <v>-1.44E-2</v>
      </c>
      <c r="P808">
        <f t="shared" si="62"/>
        <v>-2.5899999999999996E-2</v>
      </c>
      <c r="Q808">
        <f t="shared" si="63"/>
        <v>2.7999999999999997E-2</v>
      </c>
    </row>
    <row r="809" spans="1:17">
      <c r="A809">
        <v>199403</v>
      </c>
      <c r="B809">
        <v>-4.5100000000000001E-2</v>
      </c>
      <c r="C809">
        <v>-1.1399999999999999E-2</v>
      </c>
      <c r="D809">
        <v>-5.4699999999999999E-2</v>
      </c>
      <c r="K809">
        <f t="shared" si="60"/>
        <v>-4.8870917649991893E-2</v>
      </c>
      <c r="L809">
        <f t="shared" si="64"/>
        <v>-5.1370917649991896E-2</v>
      </c>
      <c r="N809">
        <f t="shared" si="61"/>
        <v>-5.7200000000000001E-2</v>
      </c>
      <c r="P809">
        <f t="shared" si="62"/>
        <v>-4.7600000000000003E-2</v>
      </c>
      <c r="Q809">
        <f t="shared" si="63"/>
        <v>-1.1399999999999999E-2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3.4000000000000002E-3</v>
      </c>
      <c r="K810">
        <f t="shared" si="60"/>
        <v>6.4568033000065445E-3</v>
      </c>
      <c r="L810">
        <f t="shared" si="64"/>
        <v>3.956803300006544E-3</v>
      </c>
      <c r="N810">
        <f t="shared" si="61"/>
        <v>9.0000000000000019E-4</v>
      </c>
      <c r="P810">
        <f t="shared" si="62"/>
        <v>7.000000000000001E-3</v>
      </c>
      <c r="Q810">
        <f t="shared" si="63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-2.3100000000000002E-2</v>
      </c>
      <c r="K811">
        <f t="shared" si="60"/>
        <v>1.8874163000150773E-3</v>
      </c>
      <c r="L811">
        <f t="shared" si="64"/>
        <v>-6.1258369998492277E-4</v>
      </c>
      <c r="N811">
        <f t="shared" si="61"/>
        <v>-2.5600000000000001E-2</v>
      </c>
      <c r="P811">
        <f t="shared" si="62"/>
        <v>6.3999999999999994E-3</v>
      </c>
      <c r="Q811">
        <f t="shared" si="63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4"/>
        <v>-3.1023128999997152E-2</v>
      </c>
      <c r="N812">
        <f t="shared" si="61"/>
        <v>-6.3600000000000004E-2</v>
      </c>
      <c r="P812">
        <f t="shared" si="62"/>
        <v>-2.9699999999999997E-2</v>
      </c>
      <c r="Q812">
        <f t="shared" si="63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4"/>
        <v>2.2678232400012519E-2</v>
      </c>
      <c r="N813">
        <f t="shared" si="61"/>
        <v>2.3100000000000002E-2</v>
      </c>
      <c r="P813">
        <f t="shared" si="62"/>
        <v>2.8500000000000001E-2</v>
      </c>
      <c r="Q813">
        <f t="shared" si="63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4"/>
        <v>4.6030186174989829E-2</v>
      </c>
      <c r="N814">
        <f t="shared" si="61"/>
        <v>8.2200000000000009E-2</v>
      </c>
      <c r="P814">
        <f t="shared" si="62"/>
        <v>4.1299999999999996E-2</v>
      </c>
      <c r="Q814">
        <f t="shared" si="63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4"/>
        <v>-1.1612672025022121E-2</v>
      </c>
      <c r="N815">
        <f t="shared" si="61"/>
        <v>5.1999999999999998E-3</v>
      </c>
      <c r="P815">
        <f t="shared" si="62"/>
        <v>-2.1899999999999999E-2</v>
      </c>
      <c r="Q815">
        <f t="shared" si="63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4"/>
        <v>7.224321150016073E-3</v>
      </c>
      <c r="N816">
        <f t="shared" si="61"/>
        <v>2.75E-2</v>
      </c>
      <c r="P816">
        <f t="shared" si="62"/>
        <v>1.47E-2</v>
      </c>
      <c r="Q816">
        <f t="shared" si="63"/>
        <v>-2.2599999999999999E-2</v>
      </c>
    </row>
    <row r="817" spans="1:17">
      <c r="A817">
        <v>199411</v>
      </c>
      <c r="B817">
        <v>-3.6699999999999997E-2</v>
      </c>
      <c r="C817">
        <v>3.0999999999999999E-3</v>
      </c>
      <c r="D817">
        <v>-5.3099999999999994E-2</v>
      </c>
      <c r="K817">
        <f t="shared" si="60"/>
        <v>-3.5674575025002202E-2</v>
      </c>
      <c r="L817">
        <f t="shared" si="64"/>
        <v>-3.8174575025002204E-2</v>
      </c>
      <c r="N817">
        <f t="shared" si="61"/>
        <v>-5.5599999999999997E-2</v>
      </c>
      <c r="P817">
        <f t="shared" si="62"/>
        <v>-3.9199999999999999E-2</v>
      </c>
      <c r="Q817">
        <f t="shared" si="63"/>
        <v>3.0999999999999999E-3</v>
      </c>
    </row>
    <row r="818" spans="1:17">
      <c r="A818">
        <v>199412</v>
      </c>
      <c r="B818">
        <v>1.3000000000000001E-2</v>
      </c>
      <c r="C818">
        <v>1.9E-3</v>
      </c>
      <c r="D818">
        <v>1.7600000000000001E-2</v>
      </c>
      <c r="K818">
        <f t="shared" si="60"/>
        <v>1.3628486274998649E-2</v>
      </c>
      <c r="L818">
        <f t="shared" si="64"/>
        <v>1.1128486274998649E-2</v>
      </c>
      <c r="N818">
        <f t="shared" si="61"/>
        <v>1.5100000000000001E-2</v>
      </c>
      <c r="P818">
        <f t="shared" si="62"/>
        <v>1.0500000000000001E-2</v>
      </c>
      <c r="Q818">
        <f t="shared" si="63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4"/>
        <v>8.3210906000244656E-3</v>
      </c>
      <c r="N819">
        <f t="shared" si="61"/>
        <v>-2.0299999999999999E-2</v>
      </c>
      <c r="P819">
        <f t="shared" si="62"/>
        <v>1.9700000000000002E-2</v>
      </c>
      <c r="Q819">
        <f t="shared" si="63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4"/>
        <v>3.5616837150004695E-2</v>
      </c>
      <c r="N820">
        <f t="shared" si="61"/>
        <v>4.07E-2</v>
      </c>
      <c r="P820">
        <f t="shared" si="62"/>
        <v>3.78E-2</v>
      </c>
      <c r="Q820">
        <f t="shared" si="63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3.9700000000000006E-2</v>
      </c>
      <c r="K821">
        <f t="shared" si="60"/>
        <v>2.5805357275001491E-2</v>
      </c>
      <c r="L821">
        <f t="shared" si="64"/>
        <v>2.3305357275001493E-2</v>
      </c>
      <c r="N821">
        <f t="shared" si="61"/>
        <v>3.7200000000000004E-2</v>
      </c>
      <c r="P821">
        <f t="shared" si="62"/>
        <v>2.4E-2</v>
      </c>
      <c r="Q821">
        <f t="shared" si="63"/>
        <v>-2.0999999999999999E-3</v>
      </c>
    </row>
    <row r="822" spans="1:17">
      <c r="A822">
        <v>199504</v>
      </c>
      <c r="B822">
        <v>2.5500000000000002E-2</v>
      </c>
      <c r="C822">
        <v>-4.8999999999999998E-3</v>
      </c>
      <c r="D822">
        <v>4.6800000000000001E-2</v>
      </c>
      <c r="K822">
        <f t="shared" si="60"/>
        <v>2.3879166975003488E-2</v>
      </c>
      <c r="L822">
        <f t="shared" si="64"/>
        <v>2.1379166975003489E-2</v>
      </c>
      <c r="N822">
        <f t="shared" si="61"/>
        <v>4.4299999999999999E-2</v>
      </c>
      <c r="P822">
        <f t="shared" si="62"/>
        <v>2.3000000000000003E-2</v>
      </c>
      <c r="Q822">
        <f t="shared" si="63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2.6600000000000002E-2</v>
      </c>
      <c r="K823">
        <f t="shared" si="60"/>
        <v>2.6064287300017922E-2</v>
      </c>
      <c r="L823">
        <f t="shared" si="64"/>
        <v>2.3564287300017923E-2</v>
      </c>
      <c r="N823">
        <f t="shared" si="61"/>
        <v>2.4100000000000003E-2</v>
      </c>
      <c r="P823">
        <f t="shared" si="62"/>
        <v>3.1899999999999998E-2</v>
      </c>
      <c r="Q823">
        <f t="shared" si="63"/>
        <v>-2.52E-2</v>
      </c>
    </row>
    <row r="824" spans="1:17">
      <c r="A824">
        <v>199506</v>
      </c>
      <c r="B824">
        <v>3.1900000000000005E-2</v>
      </c>
      <c r="C824">
        <v>3.15E-2</v>
      </c>
      <c r="D824">
        <v>7.2300000000000003E-2</v>
      </c>
      <c r="K824">
        <f t="shared" si="60"/>
        <v>4.2319640874977603E-2</v>
      </c>
      <c r="L824">
        <f t="shared" si="64"/>
        <v>3.9819640874977601E-2</v>
      </c>
      <c r="N824">
        <f t="shared" si="61"/>
        <v>6.9800000000000001E-2</v>
      </c>
      <c r="P824">
        <f t="shared" si="62"/>
        <v>2.9400000000000006E-2</v>
      </c>
      <c r="Q824">
        <f t="shared" si="63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4"/>
        <v>4.6014114349985348E-2</v>
      </c>
      <c r="N825">
        <f t="shared" si="61"/>
        <v>6.3E-2</v>
      </c>
      <c r="P825">
        <f t="shared" si="62"/>
        <v>3.9199999999999999E-2</v>
      </c>
      <c r="Q825">
        <f t="shared" si="63"/>
        <v>2.06E-2</v>
      </c>
    </row>
    <row r="826" spans="1:17">
      <c r="A826">
        <v>199508</v>
      </c>
      <c r="B826">
        <v>1.0200000000000001E-2</v>
      </c>
      <c r="C826">
        <v>1.3600000000000001E-2</v>
      </c>
      <c r="D826">
        <v>7.6E-3</v>
      </c>
      <c r="K826">
        <f t="shared" si="60"/>
        <v>1.4698638599990328E-2</v>
      </c>
      <c r="L826">
        <f t="shared" si="64"/>
        <v>1.2198638599990328E-2</v>
      </c>
      <c r="N826">
        <f t="shared" si="61"/>
        <v>5.1000000000000004E-3</v>
      </c>
      <c r="P826">
        <f t="shared" si="62"/>
        <v>7.7000000000000002E-3</v>
      </c>
      <c r="Q826">
        <f t="shared" si="63"/>
        <v>1.3600000000000001E-2</v>
      </c>
    </row>
    <row r="827" spans="1:17">
      <c r="A827">
        <v>199509</v>
      </c>
      <c r="B827">
        <v>3.78E-2</v>
      </c>
      <c r="C827">
        <v>-2.2000000000000002E-2</v>
      </c>
      <c r="D827">
        <v>3.2799999999999996E-2</v>
      </c>
      <c r="K827">
        <f t="shared" si="60"/>
        <v>3.0522790500015648E-2</v>
      </c>
      <c r="L827">
        <f t="shared" si="64"/>
        <v>2.8022790500015649E-2</v>
      </c>
      <c r="N827">
        <f t="shared" si="61"/>
        <v>3.0299999999999997E-2</v>
      </c>
      <c r="P827">
        <f t="shared" si="62"/>
        <v>3.5299999999999998E-2</v>
      </c>
      <c r="Q827">
        <f t="shared" si="63"/>
        <v>-2.2000000000000002E-2</v>
      </c>
    </row>
    <row r="828" spans="1:17">
      <c r="A828">
        <v>199510</v>
      </c>
      <c r="B828">
        <v>-1.0499999999999999E-2</v>
      </c>
      <c r="C828">
        <v>-3.7999999999999999E-2</v>
      </c>
      <c r="D828">
        <v>-3.3000000000000004E-3</v>
      </c>
      <c r="K828">
        <f t="shared" si="60"/>
        <v>-2.3069725499972972E-2</v>
      </c>
      <c r="L828">
        <f t="shared" si="64"/>
        <v>-2.5569725499972971E-2</v>
      </c>
      <c r="N828">
        <f t="shared" si="61"/>
        <v>-5.8000000000000005E-3</v>
      </c>
      <c r="P828">
        <f t="shared" si="62"/>
        <v>-1.2999999999999999E-2</v>
      </c>
      <c r="Q828">
        <f t="shared" si="63"/>
        <v>-3.7999999999999999E-2</v>
      </c>
    </row>
    <row r="829" spans="1:17">
      <c r="A829">
        <v>199511</v>
      </c>
      <c r="B829">
        <v>4.3800000000000006E-2</v>
      </c>
      <c r="C829">
        <v>-1.11E-2</v>
      </c>
      <c r="D829">
        <v>1.3100000000000001E-2</v>
      </c>
      <c r="K829">
        <f t="shared" si="60"/>
        <v>4.0128317025007902E-2</v>
      </c>
      <c r="L829">
        <f t="shared" si="64"/>
        <v>3.76283170250079E-2</v>
      </c>
      <c r="N829">
        <f t="shared" si="61"/>
        <v>1.06E-2</v>
      </c>
      <c r="P829">
        <f t="shared" si="62"/>
        <v>4.1300000000000003E-2</v>
      </c>
      <c r="Q829">
        <f t="shared" si="63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4"/>
        <v>1.5081632199994878E-2</v>
      </c>
      <c r="N830">
        <f t="shared" si="61"/>
        <v>-1.6399999999999998E-2</v>
      </c>
      <c r="P830">
        <f t="shared" si="62"/>
        <v>1.2699999999999999E-2</v>
      </c>
      <c r="Q830">
        <f t="shared" si="63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2.7000000000000003E-2</v>
      </c>
      <c r="K831">
        <f t="shared" si="60"/>
        <v>1.7869644575019418E-2</v>
      </c>
      <c r="L831">
        <f t="shared" si="64"/>
        <v>1.5369644575019418E-2</v>
      </c>
      <c r="N831">
        <f t="shared" si="61"/>
        <v>2.4500000000000004E-2</v>
      </c>
      <c r="P831">
        <f t="shared" si="62"/>
        <v>2.4400000000000002E-2</v>
      </c>
      <c r="Q831">
        <f t="shared" si="63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4"/>
        <v>2.0587924049987341E-2</v>
      </c>
      <c r="N832">
        <f t="shared" si="61"/>
        <v>3.32E-2</v>
      </c>
      <c r="P832">
        <f t="shared" si="62"/>
        <v>1.47E-2</v>
      </c>
      <c r="Q832">
        <f t="shared" si="63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4"/>
        <v>1.3694811974989259E-2</v>
      </c>
      <c r="N833">
        <f t="shared" si="61"/>
        <v>2.0999999999999999E-3</v>
      </c>
      <c r="P833">
        <f t="shared" si="62"/>
        <v>8.6999999999999994E-3</v>
      </c>
      <c r="Q833">
        <f t="shared" si="63"/>
        <v>1.5100000000000001E-2</v>
      </c>
    </row>
    <row r="834" spans="1:17">
      <c r="A834">
        <v>199604</v>
      </c>
      <c r="B834">
        <v>2.52E-2</v>
      </c>
      <c r="C834">
        <v>5.2199999999999996E-2</v>
      </c>
      <c r="D834">
        <v>6.3600000000000004E-2</v>
      </c>
      <c r="K834">
        <f t="shared" si="60"/>
        <v>4.2466833449962875E-2</v>
      </c>
      <c r="L834">
        <f t="shared" si="64"/>
        <v>3.9966833449962873E-2</v>
      </c>
      <c r="N834">
        <f t="shared" si="61"/>
        <v>6.1100000000000002E-2</v>
      </c>
      <c r="P834">
        <f t="shared" si="62"/>
        <v>2.2700000000000001E-2</v>
      </c>
      <c r="Q834">
        <f t="shared" si="63"/>
        <v>5.2199999999999996E-2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si="64"/>
        <v>3.5818875549977383E-2</v>
      </c>
      <c r="N835">
        <f t="shared" ref="N835:N898" si="66">D835-$I$7</f>
        <v>4.8899999999999999E-2</v>
      </c>
      <c r="P835">
        <f t="shared" ref="P835:P898" si="67">B835-0.0025</f>
        <v>2.53E-2</v>
      </c>
      <c r="Q835">
        <f t="shared" ref="Q835:Q898" si="68">C835</f>
        <v>3.1800000000000002E-2</v>
      </c>
    </row>
    <row r="836" spans="1:17">
      <c r="A836">
        <v>199606</v>
      </c>
      <c r="B836">
        <v>-7.3999999999999986E-3</v>
      </c>
      <c r="C836">
        <v>-3.9900000000000005E-2</v>
      </c>
      <c r="D836">
        <v>-4.1100000000000005E-2</v>
      </c>
      <c r="K836">
        <f t="shared" si="65"/>
        <v>-2.0598211774971623E-2</v>
      </c>
      <c r="L836">
        <f t="shared" ref="L836:L899" si="69">K836-$I$7</f>
        <v>-2.3098211774971622E-2</v>
      </c>
      <c r="N836">
        <f t="shared" si="66"/>
        <v>-4.3600000000000007E-2</v>
      </c>
      <c r="P836">
        <f t="shared" si="67"/>
        <v>-9.8999999999999991E-3</v>
      </c>
      <c r="Q836">
        <f t="shared" si="68"/>
        <v>-3.9900000000000005E-2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9"/>
        <v>-7.1956714974969346E-2</v>
      </c>
      <c r="N837">
        <f t="shared" si="66"/>
        <v>-0.11070000000000001</v>
      </c>
      <c r="P837">
        <f t="shared" si="67"/>
        <v>-5.7700000000000001E-2</v>
      </c>
      <c r="Q837">
        <f t="shared" si="68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5.7699999999999994E-2</v>
      </c>
      <c r="K838">
        <f t="shared" si="65"/>
        <v>3.9937243349982506E-2</v>
      </c>
      <c r="L838">
        <f t="shared" si="69"/>
        <v>3.7437243349982503E-2</v>
      </c>
      <c r="N838">
        <f t="shared" si="66"/>
        <v>5.5199999999999992E-2</v>
      </c>
      <c r="P838">
        <f t="shared" si="67"/>
        <v>2.9300000000000003E-2</v>
      </c>
      <c r="Q838">
        <f t="shared" si="68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9"/>
        <v>4.875833395000697E-2</v>
      </c>
      <c r="N839">
        <f t="shared" si="66"/>
        <v>7.7699999999999991E-2</v>
      </c>
      <c r="P839">
        <f t="shared" si="67"/>
        <v>5.1999999999999998E-2</v>
      </c>
      <c r="Q839">
        <f t="shared" si="68"/>
        <v>-9.7999999999999997E-3</v>
      </c>
    </row>
    <row r="840" spans="1:17">
      <c r="A840">
        <v>199610</v>
      </c>
      <c r="B840">
        <v>1.2799999999999999E-2</v>
      </c>
      <c r="C840">
        <v>-4.4400000000000002E-2</v>
      </c>
      <c r="D840">
        <v>-1.03E-2</v>
      </c>
      <c r="K840">
        <f t="shared" si="65"/>
        <v>-1.8867318999684236E-3</v>
      </c>
      <c r="L840">
        <f t="shared" si="69"/>
        <v>-4.3867318999684241E-3</v>
      </c>
      <c r="N840">
        <f t="shared" si="66"/>
        <v>-1.2800000000000001E-2</v>
      </c>
      <c r="P840">
        <f t="shared" si="67"/>
        <v>1.0299999999999998E-2</v>
      </c>
      <c r="Q840">
        <f t="shared" si="68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9"/>
        <v>5.0703318875028797E-2</v>
      </c>
      <c r="N841">
        <f t="shared" si="66"/>
        <v>1.35E-2</v>
      </c>
      <c r="P841">
        <f t="shared" si="67"/>
        <v>6.409999999999999E-2</v>
      </c>
      <c r="Q841">
        <f t="shared" si="68"/>
        <v>-4.0500000000000001E-2</v>
      </c>
    </row>
    <row r="842" spans="1:17">
      <c r="A842">
        <v>199612</v>
      </c>
      <c r="B842">
        <v>-1.2400000000000001E-2</v>
      </c>
      <c r="C842">
        <v>3.1699999999999999E-2</v>
      </c>
      <c r="D842">
        <v>8.8000000000000005E-3</v>
      </c>
      <c r="K842">
        <f t="shared" si="65"/>
        <v>-1.9142026750225468E-3</v>
      </c>
      <c r="L842">
        <f t="shared" si="69"/>
        <v>-4.4142026750225473E-3</v>
      </c>
      <c r="N842">
        <f t="shared" si="66"/>
        <v>6.3E-3</v>
      </c>
      <c r="P842">
        <f t="shared" si="67"/>
        <v>-1.4900000000000002E-2</v>
      </c>
      <c r="Q842">
        <f t="shared" si="68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9"/>
        <v>4.5415902575013725E-2</v>
      </c>
      <c r="N843">
        <f t="shared" si="66"/>
        <v>8.8599999999999998E-2</v>
      </c>
      <c r="P843">
        <f t="shared" si="67"/>
        <v>5.1799999999999999E-2</v>
      </c>
      <c r="Q843">
        <f t="shared" si="68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9"/>
        <v>-1.4085031999977241E-2</v>
      </c>
      <c r="N844">
        <f t="shared" si="66"/>
        <v>-7.0900000000000005E-2</v>
      </c>
      <c r="P844">
        <f t="shared" si="67"/>
        <v>-3.4999999999999996E-3</v>
      </c>
      <c r="Q844">
        <f t="shared" si="68"/>
        <v>-3.2000000000000001E-2</v>
      </c>
    </row>
    <row r="845" spans="1:17">
      <c r="A845">
        <v>199703</v>
      </c>
      <c r="B845">
        <v>-4.5899999999999996E-2</v>
      </c>
      <c r="C845">
        <v>-3.4999999999999996E-3</v>
      </c>
      <c r="D845">
        <v>-4.5700000000000005E-2</v>
      </c>
      <c r="K845">
        <f t="shared" si="65"/>
        <v>-4.7057737874997507E-2</v>
      </c>
      <c r="L845">
        <f t="shared" si="69"/>
        <v>-4.9557737874997509E-2</v>
      </c>
      <c r="N845">
        <f t="shared" si="66"/>
        <v>-4.8200000000000007E-2</v>
      </c>
      <c r="P845">
        <f t="shared" si="67"/>
        <v>-4.8399999999999999E-2</v>
      </c>
      <c r="Q845">
        <f t="shared" si="68"/>
        <v>-3.4999999999999996E-3</v>
      </c>
    </row>
    <row r="846" spans="1:17">
      <c r="A846">
        <v>199704</v>
      </c>
      <c r="B846">
        <v>4.4699999999999997E-2</v>
      </c>
      <c r="C846">
        <v>-5.7800000000000004E-2</v>
      </c>
      <c r="D846">
        <v>8.9399999999999993E-2</v>
      </c>
      <c r="K846">
        <f t="shared" si="65"/>
        <v>2.5580785950041103E-2</v>
      </c>
      <c r="L846">
        <f t="shared" si="69"/>
        <v>2.3080785950041104E-2</v>
      </c>
      <c r="N846">
        <f t="shared" si="66"/>
        <v>8.6899999999999991E-2</v>
      </c>
      <c r="P846">
        <f t="shared" si="67"/>
        <v>4.2199999999999994E-2</v>
      </c>
      <c r="Q846">
        <f t="shared" si="68"/>
        <v>-5.7800000000000004E-2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6.1399999999999996E-2</v>
      </c>
      <c r="K847">
        <f t="shared" si="65"/>
        <v>8.9467598774963089E-2</v>
      </c>
      <c r="L847">
        <f t="shared" si="69"/>
        <v>8.6967598774963087E-2</v>
      </c>
      <c r="N847">
        <f t="shared" si="66"/>
        <v>5.8899999999999994E-2</v>
      </c>
      <c r="P847">
        <f t="shared" si="67"/>
        <v>6.9800000000000001E-2</v>
      </c>
      <c r="Q847">
        <f t="shared" si="68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9"/>
        <v>4.6301699899991174E-2</v>
      </c>
      <c r="N848">
        <f t="shared" si="66"/>
        <v>4.2699999999999995E-2</v>
      </c>
      <c r="P848">
        <f t="shared" si="67"/>
        <v>4.2199999999999994E-2</v>
      </c>
      <c r="Q848">
        <f t="shared" si="68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9"/>
        <v>6.6069644575019418E-2</v>
      </c>
      <c r="N849">
        <f t="shared" si="66"/>
        <v>0.14949999999999999</v>
      </c>
      <c r="P849">
        <f t="shared" si="67"/>
        <v>7.51E-2</v>
      </c>
      <c r="Q849">
        <f t="shared" si="68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-2.7000000000000003E-2</v>
      </c>
      <c r="K850">
        <f t="shared" si="65"/>
        <v>-1.3219817525051993E-2</v>
      </c>
      <c r="L850">
        <f t="shared" si="69"/>
        <v>-1.5719817525051992E-2</v>
      </c>
      <c r="N850">
        <f t="shared" si="66"/>
        <v>-2.9500000000000002E-2</v>
      </c>
      <c r="P850">
        <f t="shared" si="67"/>
        <v>-3.9900000000000005E-2</v>
      </c>
      <c r="Q850">
        <f t="shared" si="68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9"/>
        <v>6.3768790924982E-2</v>
      </c>
      <c r="N851">
        <f t="shared" si="66"/>
        <v>6.6600000000000006E-2</v>
      </c>
      <c r="P851">
        <f t="shared" si="67"/>
        <v>5.5399999999999998E-2</v>
      </c>
      <c r="Q851">
        <f t="shared" si="68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9"/>
        <v>-3.8847023324994526E-2</v>
      </c>
      <c r="N852">
        <f t="shared" si="66"/>
        <v>-8.1000000000000003E-2</v>
      </c>
      <c r="P852">
        <f t="shared" si="67"/>
        <v>-3.6299999999999999E-2</v>
      </c>
      <c r="Q852">
        <f t="shared" si="68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1.1899999999999999E-2</v>
      </c>
      <c r="K853">
        <f t="shared" si="65"/>
        <v>1.6730870575036486E-2</v>
      </c>
      <c r="L853">
        <f t="shared" si="69"/>
        <v>1.4230870575036485E-2</v>
      </c>
      <c r="N853">
        <f t="shared" si="66"/>
        <v>9.3999999999999986E-3</v>
      </c>
      <c r="P853">
        <f t="shared" si="67"/>
        <v>3.1200000000000002E-2</v>
      </c>
      <c r="Q853">
        <f t="shared" si="68"/>
        <v>-5.1299999999999998E-2</v>
      </c>
    </row>
    <row r="854" spans="1:17">
      <c r="A854">
        <v>199712</v>
      </c>
      <c r="B854">
        <v>1.8000000000000002E-2</v>
      </c>
      <c r="C854">
        <v>-2.4700000000000003E-2</v>
      </c>
      <c r="D854">
        <v>1.43E-2</v>
      </c>
      <c r="K854">
        <f t="shared" si="65"/>
        <v>9.8296784250175677E-3</v>
      </c>
      <c r="L854">
        <f t="shared" si="69"/>
        <v>7.3296784250175672E-3</v>
      </c>
      <c r="N854">
        <f t="shared" si="66"/>
        <v>1.18E-2</v>
      </c>
      <c r="P854">
        <f t="shared" si="67"/>
        <v>1.5500000000000002E-2</v>
      </c>
      <c r="Q854">
        <f t="shared" si="68"/>
        <v>-2.4700000000000003E-2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9"/>
        <v>-2.0629184999246177E-4</v>
      </c>
      <c r="N855">
        <f t="shared" si="66"/>
        <v>2.4200000000000003E-2</v>
      </c>
      <c r="P855">
        <f t="shared" si="67"/>
        <v>3.2999999999999995E-3</v>
      </c>
      <c r="Q855">
        <f t="shared" si="68"/>
        <v>-1.06E-2</v>
      </c>
    </row>
    <row r="856" spans="1:17">
      <c r="A856">
        <v>199802</v>
      </c>
      <c r="B856">
        <v>7.4300000000000005E-2</v>
      </c>
      <c r="C856">
        <v>3.4000000000000002E-3</v>
      </c>
      <c r="D856">
        <v>9.8599999999999993E-2</v>
      </c>
      <c r="K856">
        <f t="shared" si="65"/>
        <v>7.5424659649997589E-2</v>
      </c>
      <c r="L856">
        <f t="shared" si="69"/>
        <v>7.2924659649997586E-2</v>
      </c>
      <c r="N856">
        <f t="shared" si="66"/>
        <v>9.6099999999999991E-2</v>
      </c>
      <c r="P856">
        <f t="shared" si="67"/>
        <v>7.1800000000000003E-2</v>
      </c>
      <c r="Q856">
        <f t="shared" si="68"/>
        <v>3.4000000000000002E-3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9"/>
        <v>4.5328317025007892E-2</v>
      </c>
      <c r="N857">
        <f t="shared" si="66"/>
        <v>6.2699999999999992E-2</v>
      </c>
      <c r="P857">
        <f t="shared" si="67"/>
        <v>4.8999999999999995E-2</v>
      </c>
      <c r="Q857">
        <f t="shared" si="68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5.5099999999999996E-2</v>
      </c>
      <c r="K858">
        <f t="shared" si="65"/>
        <v>1.1666156449999857E-2</v>
      </c>
      <c r="L858">
        <f t="shared" si="69"/>
        <v>9.1661564499998568E-3</v>
      </c>
      <c r="N858">
        <f t="shared" si="66"/>
        <v>5.2599999999999994E-2</v>
      </c>
      <c r="P858">
        <f t="shared" si="67"/>
        <v>9.0999999999999987E-3</v>
      </c>
      <c r="Q858">
        <f t="shared" si="68"/>
        <v>2.0000000000000001E-4</v>
      </c>
    </row>
    <row r="859" spans="1:17">
      <c r="A859">
        <v>199805</v>
      </c>
      <c r="B859">
        <v>-2.6699999999999998E-2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9"/>
        <v>-4.0281205374976176E-2</v>
      </c>
      <c r="N859">
        <f t="shared" si="66"/>
        <v>-3.7400000000000003E-2</v>
      </c>
      <c r="P859">
        <f t="shared" si="67"/>
        <v>-2.9199999999999997E-2</v>
      </c>
      <c r="Q859">
        <f t="shared" si="68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9"/>
        <v>2.2715733325022972E-2</v>
      </c>
      <c r="N860">
        <f t="shared" si="66"/>
        <v>9.4100000000000003E-2</v>
      </c>
      <c r="P860">
        <f t="shared" si="67"/>
        <v>3.3399999999999999E-2</v>
      </c>
      <c r="Q860">
        <f t="shared" si="68"/>
        <v>-3.2300000000000002E-2</v>
      </c>
    </row>
    <row r="861" spans="1:17">
      <c r="A861">
        <v>199807</v>
      </c>
      <c r="B861">
        <v>-2.06E-2</v>
      </c>
      <c r="C861">
        <v>-4.9100000000000005E-2</v>
      </c>
      <c r="D861">
        <v>9.4000000000000004E-3</v>
      </c>
      <c r="K861">
        <f t="shared" si="65"/>
        <v>-3.684140847496508E-2</v>
      </c>
      <c r="L861">
        <f t="shared" si="69"/>
        <v>-3.9341408474965082E-2</v>
      </c>
      <c r="N861">
        <f t="shared" si="66"/>
        <v>6.8999999999999999E-3</v>
      </c>
      <c r="P861">
        <f t="shared" si="67"/>
        <v>-2.3099999999999999E-2</v>
      </c>
      <c r="Q861">
        <f t="shared" si="68"/>
        <v>-4.9100000000000005E-2</v>
      </c>
    </row>
    <row r="862" spans="1:17">
      <c r="A862">
        <v>199808</v>
      </c>
      <c r="B862">
        <v>-0.1565</v>
      </c>
      <c r="C862">
        <v>-5.6799999999999996E-2</v>
      </c>
      <c r="D862">
        <v>-0.16890000000000002</v>
      </c>
      <c r="K862">
        <f t="shared" si="65"/>
        <v>-0.17528843179995959</v>
      </c>
      <c r="L862">
        <f t="shared" si="69"/>
        <v>-0.1777884317999596</v>
      </c>
      <c r="N862">
        <f t="shared" si="66"/>
        <v>-0.17140000000000002</v>
      </c>
      <c r="P862">
        <f t="shared" si="67"/>
        <v>-0.159</v>
      </c>
      <c r="Q862">
        <f t="shared" si="68"/>
        <v>-5.6799999999999996E-2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9"/>
        <v>6.3930782249999291E-2</v>
      </c>
      <c r="N863">
        <f t="shared" si="66"/>
        <v>8.3599999999999994E-2</v>
      </c>
      <c r="P863">
        <f t="shared" si="67"/>
        <v>6.3600000000000004E-2</v>
      </c>
      <c r="Q863">
        <f t="shared" si="68"/>
        <v>1E-3</v>
      </c>
    </row>
    <row r="864" spans="1:17">
      <c r="A864">
        <v>199810</v>
      </c>
      <c r="B864">
        <v>7.4499999999999997E-2</v>
      </c>
      <c r="C864">
        <v>-3.1200000000000002E-2</v>
      </c>
      <c r="D864">
        <v>4.0999999999999995E-2</v>
      </c>
      <c r="K864">
        <f t="shared" si="65"/>
        <v>6.4179593800022181E-2</v>
      </c>
      <c r="L864">
        <f t="shared" si="69"/>
        <v>6.1679593800022178E-2</v>
      </c>
      <c r="N864">
        <f t="shared" si="66"/>
        <v>3.8499999999999993E-2</v>
      </c>
      <c r="P864">
        <f t="shared" si="67"/>
        <v>7.1999999999999995E-2</v>
      </c>
      <c r="Q864">
        <f t="shared" si="68"/>
        <v>-3.1200000000000002E-2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9"/>
        <v>6.5569386999991472E-2</v>
      </c>
      <c r="N865">
        <f t="shared" si="66"/>
        <v>7.2900000000000006E-2</v>
      </c>
      <c r="P865">
        <f t="shared" si="67"/>
        <v>6.1600000000000002E-2</v>
      </c>
      <c r="Q865">
        <f t="shared" si="68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9"/>
        <v>6.1213010525003622E-2</v>
      </c>
      <c r="N866">
        <f t="shared" si="66"/>
        <v>0.12759999999999999</v>
      </c>
      <c r="P866">
        <f t="shared" si="67"/>
        <v>6.2899999999999998E-2</v>
      </c>
      <c r="Q866">
        <f t="shared" si="68"/>
        <v>-5.1000000000000004E-3</v>
      </c>
    </row>
    <row r="867" spans="1:17">
      <c r="A867">
        <v>199901</v>
      </c>
      <c r="B867">
        <v>3.8500000000000006E-2</v>
      </c>
      <c r="C867">
        <v>7.8000000000000005E-3</v>
      </c>
      <c r="D867">
        <v>9.0500000000000011E-2</v>
      </c>
      <c r="K867">
        <f t="shared" si="65"/>
        <v>4.1080101549994461E-2</v>
      </c>
      <c r="L867">
        <f t="shared" si="69"/>
        <v>3.8580101549994458E-2</v>
      </c>
      <c r="N867">
        <f t="shared" si="66"/>
        <v>8.8000000000000009E-2</v>
      </c>
      <c r="P867">
        <f t="shared" si="67"/>
        <v>3.6000000000000004E-2</v>
      </c>
      <c r="Q867">
        <f t="shared" si="68"/>
        <v>7.8000000000000005E-3</v>
      </c>
    </row>
    <row r="868" spans="1:17">
      <c r="A868">
        <v>199902</v>
      </c>
      <c r="B868">
        <v>-3.73E-2</v>
      </c>
      <c r="C868">
        <v>-6.0599999999999994E-2</v>
      </c>
      <c r="D868">
        <v>-4.6800000000000001E-2</v>
      </c>
      <c r="K868">
        <f t="shared" si="65"/>
        <v>-5.7345404349956899E-2</v>
      </c>
      <c r="L868">
        <f t="shared" si="69"/>
        <v>-5.9845404349956902E-2</v>
      </c>
      <c r="N868">
        <f t="shared" si="66"/>
        <v>-4.9300000000000004E-2</v>
      </c>
      <c r="P868">
        <f t="shared" si="67"/>
        <v>-3.9800000000000002E-2</v>
      </c>
      <c r="Q868">
        <f t="shared" si="68"/>
        <v>-6.0599999999999994E-2</v>
      </c>
    </row>
    <row r="869" spans="1:17">
      <c r="A869">
        <v>199903</v>
      </c>
      <c r="B869">
        <v>3.8800000000000001E-2</v>
      </c>
      <c r="C869">
        <v>-3.7700000000000004E-2</v>
      </c>
      <c r="D869">
        <v>5.7699999999999994E-2</v>
      </c>
      <c r="K869">
        <f t="shared" si="65"/>
        <v>2.6329509175026813E-2</v>
      </c>
      <c r="L869">
        <f t="shared" si="69"/>
        <v>2.3829509175026815E-2</v>
      </c>
      <c r="N869">
        <f t="shared" si="66"/>
        <v>5.5199999999999992E-2</v>
      </c>
      <c r="P869">
        <f t="shared" si="67"/>
        <v>3.6299999999999999E-2</v>
      </c>
      <c r="Q869">
        <f t="shared" si="68"/>
        <v>-3.7700000000000004E-2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9"/>
        <v>5.7565898874971905E-2</v>
      </c>
      <c r="N870">
        <f t="shared" si="66"/>
        <v>-1.12E-2</v>
      </c>
      <c r="P870">
        <f t="shared" si="67"/>
        <v>4.4499999999999998E-2</v>
      </c>
      <c r="Q870">
        <f t="shared" si="68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-3.0699999999999998E-2</v>
      </c>
      <c r="K871">
        <f t="shared" si="65"/>
        <v>-1.0052638175023968E-2</v>
      </c>
      <c r="L871">
        <f t="shared" si="69"/>
        <v>-1.2552638175023969E-2</v>
      </c>
      <c r="N871">
        <f t="shared" si="66"/>
        <v>-3.32E-2</v>
      </c>
      <c r="P871">
        <f t="shared" si="67"/>
        <v>-2.3699999999999999E-2</v>
      </c>
      <c r="Q871">
        <f t="shared" si="68"/>
        <v>3.3700000000000001E-2</v>
      </c>
    </row>
    <row r="872" spans="1:17">
      <c r="A872">
        <v>199906</v>
      </c>
      <c r="B872">
        <v>5.1699999999999996E-2</v>
      </c>
      <c r="C872">
        <v>3.1400000000000004E-2</v>
      </c>
      <c r="D872">
        <v>8.539999999999999E-2</v>
      </c>
      <c r="K872">
        <f t="shared" si="65"/>
        <v>6.2086562649977667E-2</v>
      </c>
      <c r="L872">
        <f t="shared" si="69"/>
        <v>5.9586562649977665E-2</v>
      </c>
      <c r="N872">
        <f t="shared" si="66"/>
        <v>8.2899999999999988E-2</v>
      </c>
      <c r="P872">
        <f t="shared" si="67"/>
        <v>4.9199999999999994E-2</v>
      </c>
      <c r="Q872">
        <f t="shared" si="68"/>
        <v>3.1400000000000004E-2</v>
      </c>
    </row>
    <row r="873" spans="1:17">
      <c r="A873">
        <v>199907</v>
      </c>
      <c r="B873">
        <v>-3.1099999999999999E-2</v>
      </c>
      <c r="C873">
        <v>2.6000000000000002E-2</v>
      </c>
      <c r="D873">
        <v>-1.8200000000000001E-2</v>
      </c>
      <c r="K873">
        <f t="shared" si="65"/>
        <v>-2.2499661500018489E-2</v>
      </c>
      <c r="L873">
        <f t="shared" si="69"/>
        <v>-2.4999661500018488E-2</v>
      </c>
      <c r="N873">
        <f t="shared" si="66"/>
        <v>-2.07E-2</v>
      </c>
      <c r="P873">
        <f t="shared" si="67"/>
        <v>-3.3599999999999998E-2</v>
      </c>
      <c r="Q873">
        <f t="shared" si="68"/>
        <v>2.6000000000000002E-2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9"/>
        <v>-1.5509353149993315E-2</v>
      </c>
      <c r="N874">
        <f t="shared" si="66"/>
        <v>6.5000000000000006E-3</v>
      </c>
      <c r="P874">
        <f t="shared" si="67"/>
        <v>-1.24E-2</v>
      </c>
      <c r="Q874">
        <f t="shared" si="68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9"/>
        <v>-1.5121090600024466E-2</v>
      </c>
      <c r="N875">
        <f t="shared" si="66"/>
        <v>-2.9999999999999992E-4</v>
      </c>
      <c r="P875">
        <f t="shared" si="67"/>
        <v>-2.6499999999999999E-2</v>
      </c>
      <c r="Q875">
        <f t="shared" si="68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9"/>
        <v>4.0735293275047012E-2</v>
      </c>
      <c r="N876">
        <f t="shared" si="66"/>
        <v>6.4000000000000001E-2</v>
      </c>
      <c r="P876">
        <f t="shared" si="67"/>
        <v>6.2600000000000003E-2</v>
      </c>
      <c r="Q876">
        <f t="shared" si="68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9"/>
        <v>5.8682478449948644E-2</v>
      </c>
      <c r="N877">
        <f t="shared" si="66"/>
        <v>0.1032</v>
      </c>
      <c r="P877">
        <f t="shared" si="67"/>
        <v>3.4799999999999998E-2</v>
      </c>
      <c r="Q877">
        <f t="shared" si="68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0.21789999999999998</v>
      </c>
      <c r="K878">
        <f t="shared" si="65"/>
        <v>0.1047216792749503</v>
      </c>
      <c r="L878">
        <f t="shared" si="69"/>
        <v>0.10222167927495029</v>
      </c>
      <c r="N878">
        <f t="shared" si="66"/>
        <v>0.21539999999999998</v>
      </c>
      <c r="P878">
        <f t="shared" si="67"/>
        <v>7.9100000000000004E-2</v>
      </c>
      <c r="Q878">
        <f t="shared" si="68"/>
        <v>6.9900000000000004E-2</v>
      </c>
    </row>
    <row r="879" spans="1:17">
      <c r="A879">
        <v>200001</v>
      </c>
      <c r="B879">
        <v>-4.3300000000000005E-2</v>
      </c>
      <c r="C879">
        <v>5.79E-2</v>
      </c>
      <c r="D879">
        <v>-2.7099999999999999E-2</v>
      </c>
      <c r="K879">
        <f t="shared" si="65"/>
        <v>-2.4147707725041184E-2</v>
      </c>
      <c r="L879">
        <f t="shared" si="69"/>
        <v>-2.6647707725041183E-2</v>
      </c>
      <c r="N879">
        <f t="shared" si="66"/>
        <v>-2.9599999999999998E-2</v>
      </c>
      <c r="P879">
        <f t="shared" si="67"/>
        <v>-4.5800000000000007E-2</v>
      </c>
      <c r="Q879">
        <f t="shared" si="68"/>
        <v>5.79E-2</v>
      </c>
    </row>
    <row r="880" spans="1:17">
      <c r="A880">
        <v>200002</v>
      </c>
      <c r="B880">
        <v>2.8799999999999999E-2</v>
      </c>
      <c r="C880">
        <v>0.21480000000000002</v>
      </c>
      <c r="D880">
        <v>0.20809999999999998</v>
      </c>
      <c r="K880">
        <f t="shared" si="65"/>
        <v>9.985202729984724E-2</v>
      </c>
      <c r="L880">
        <f t="shared" si="69"/>
        <v>9.7352027299847238E-2</v>
      </c>
      <c r="N880">
        <f t="shared" si="66"/>
        <v>0.20559999999999998</v>
      </c>
      <c r="P880">
        <f t="shared" si="67"/>
        <v>2.63E-2</v>
      </c>
      <c r="Q880">
        <f t="shared" si="68"/>
        <v>0.21480000000000002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9"/>
        <v>-2.9922510248770232E-3</v>
      </c>
      <c r="N881">
        <f t="shared" si="66"/>
        <v>-9.1999999999999998E-3</v>
      </c>
      <c r="P881">
        <f t="shared" si="67"/>
        <v>5.4200000000000005E-2</v>
      </c>
      <c r="Q881">
        <f t="shared" si="68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9"/>
        <v>-8.3830863174952849E-2</v>
      </c>
      <c r="N882">
        <f t="shared" si="66"/>
        <v>-8.9099999999999999E-2</v>
      </c>
      <c r="P882">
        <f t="shared" si="67"/>
        <v>-6.1900000000000004E-2</v>
      </c>
      <c r="Q882">
        <f t="shared" si="68"/>
        <v>-6.6299999999999998E-2</v>
      </c>
    </row>
    <row r="883" spans="1:17">
      <c r="A883">
        <v>200005</v>
      </c>
      <c r="B883">
        <v>-3.9200000000000006E-2</v>
      </c>
      <c r="C883">
        <v>-6.1100000000000002E-2</v>
      </c>
      <c r="D883">
        <v>-0.1162</v>
      </c>
      <c r="K883">
        <f t="shared" si="65"/>
        <v>-5.9410795474956549E-2</v>
      </c>
      <c r="L883">
        <f t="shared" si="69"/>
        <v>-6.1910795474956551E-2</v>
      </c>
      <c r="N883">
        <f t="shared" si="66"/>
        <v>-0.1187</v>
      </c>
      <c r="P883">
        <f t="shared" si="67"/>
        <v>-4.1700000000000008E-2</v>
      </c>
      <c r="Q883">
        <f t="shared" si="68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9"/>
        <v>9.0240127999908964E-2</v>
      </c>
      <c r="N884">
        <f t="shared" si="66"/>
        <v>0.1298</v>
      </c>
      <c r="P884">
        <f t="shared" si="67"/>
        <v>4.7899999999999998E-2</v>
      </c>
      <c r="Q884">
        <f t="shared" si="68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-3.2400000000000005E-2</v>
      </c>
      <c r="K885">
        <f t="shared" si="65"/>
        <v>-3.0488093299978092E-2</v>
      </c>
      <c r="L885">
        <f t="shared" si="69"/>
        <v>-3.2988093299978094E-2</v>
      </c>
      <c r="N885">
        <f t="shared" si="66"/>
        <v>-3.4900000000000007E-2</v>
      </c>
      <c r="P885">
        <f t="shared" si="67"/>
        <v>-2.2799999999999997E-2</v>
      </c>
      <c r="Q885">
        <f t="shared" si="68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9"/>
        <v>7.0716071825004487E-2</v>
      </c>
      <c r="N886">
        <f t="shared" si="66"/>
        <v>0.13619999999999999</v>
      </c>
      <c r="P886">
        <f t="shared" si="67"/>
        <v>7.2800000000000004E-2</v>
      </c>
      <c r="Q886">
        <f t="shared" si="68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9"/>
        <v>-5.7622532924987695E-2</v>
      </c>
      <c r="N887">
        <f t="shared" si="66"/>
        <v>-0.1203</v>
      </c>
      <c r="P887">
        <f t="shared" si="67"/>
        <v>-5.1900000000000002E-2</v>
      </c>
      <c r="Q887">
        <f t="shared" si="68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9"/>
        <v>-3.7499742424972053E-2</v>
      </c>
      <c r="N888">
        <f t="shared" si="66"/>
        <v>-7.8200000000000006E-2</v>
      </c>
      <c r="P888">
        <f t="shared" si="67"/>
        <v>-2.4499999999999997E-2</v>
      </c>
      <c r="Q888">
        <f t="shared" si="68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-0.24300000000000002</v>
      </c>
      <c r="K889">
        <f t="shared" si="65"/>
        <v>-0.11331351827497589</v>
      </c>
      <c r="L889">
        <f t="shared" si="69"/>
        <v>-0.11581351827497589</v>
      </c>
      <c r="N889">
        <f t="shared" si="66"/>
        <v>-0.24550000000000002</v>
      </c>
      <c r="P889">
        <f t="shared" si="67"/>
        <v>-0.1046</v>
      </c>
      <c r="Q889">
        <f t="shared" si="68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5.9000000000000004E-2</v>
      </c>
      <c r="K890">
        <f t="shared" si="65"/>
        <v>1.9314710424994806E-2</v>
      </c>
      <c r="L890">
        <f t="shared" si="69"/>
        <v>1.6814710424994807E-2</v>
      </c>
      <c r="N890">
        <f t="shared" si="66"/>
        <v>5.6500000000000002E-2</v>
      </c>
      <c r="P890">
        <f t="shared" si="67"/>
        <v>1.4399999999999998E-2</v>
      </c>
      <c r="Q890">
        <f t="shared" si="68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9"/>
        <v>5.629625429995249E-2</v>
      </c>
      <c r="N891">
        <f t="shared" si="66"/>
        <v>-6.6400000000000001E-2</v>
      </c>
      <c r="P891">
        <f t="shared" si="67"/>
        <v>3.4200000000000001E-2</v>
      </c>
      <c r="Q891">
        <f t="shared" si="68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9"/>
        <v>-0.10164778864999474</v>
      </c>
      <c r="N892">
        <f t="shared" si="66"/>
        <v>-4.8300000000000003E-2</v>
      </c>
      <c r="P892">
        <f t="shared" si="67"/>
        <v>-9.920000000000001E-2</v>
      </c>
      <c r="Q892">
        <f t="shared" si="68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9"/>
        <v>-7.0006887925001926E-2</v>
      </c>
      <c r="N893">
        <f t="shared" si="66"/>
        <v>-3.1699999999999999E-2</v>
      </c>
      <c r="P893">
        <f t="shared" si="67"/>
        <v>-7.0900000000000005E-2</v>
      </c>
      <c r="Q893">
        <f t="shared" si="68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5.6799999999999996E-2</v>
      </c>
      <c r="K894">
        <f t="shared" si="65"/>
        <v>8.5152380599996025E-2</v>
      </c>
      <c r="L894">
        <f t="shared" si="69"/>
        <v>8.2652380599996023E-2</v>
      </c>
      <c r="N894">
        <f t="shared" si="66"/>
        <v>5.4299999999999994E-2</v>
      </c>
      <c r="P894">
        <f t="shared" si="67"/>
        <v>8.0800000000000011E-2</v>
      </c>
      <c r="Q894">
        <f t="shared" si="68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9"/>
        <v>1.6169556249982221E-2</v>
      </c>
      <c r="N895">
        <f t="shared" si="66"/>
        <v>3.0500000000000003E-2</v>
      </c>
      <c r="P895">
        <f t="shared" si="67"/>
        <v>7.899999999999999E-3</v>
      </c>
      <c r="Q895">
        <f t="shared" si="68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9"/>
        <v>1.6400470749554038E-3</v>
      </c>
      <c r="N896">
        <f t="shared" si="66"/>
        <v>7.2999999999999992E-3</v>
      </c>
      <c r="P896">
        <f t="shared" si="67"/>
        <v>-1.9099999999999999E-2</v>
      </c>
      <c r="Q896">
        <f t="shared" si="68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-2.7999999999999997E-2</v>
      </c>
      <c r="K897">
        <f t="shared" si="65"/>
        <v>-3.21597762749702E-2</v>
      </c>
      <c r="L897">
        <f t="shared" si="69"/>
        <v>-3.4659776274970203E-2</v>
      </c>
      <c r="N897">
        <f t="shared" si="66"/>
        <v>-3.0499999999999996E-2</v>
      </c>
      <c r="P897">
        <f t="shared" si="67"/>
        <v>-2.0799999999999999E-2</v>
      </c>
      <c r="Q897">
        <f t="shared" si="68"/>
        <v>-4.1900000000000007E-2</v>
      </c>
    </row>
    <row r="898" spans="1:17">
      <c r="A898">
        <v>200108</v>
      </c>
      <c r="B898">
        <v>-6.1500000000000006E-2</v>
      </c>
      <c r="C898">
        <v>2.4799999999999999E-2</v>
      </c>
      <c r="D898">
        <v>-3.49E-2</v>
      </c>
      <c r="K898">
        <f t="shared" si="65"/>
        <v>-5.3296600200017641E-2</v>
      </c>
      <c r="L898">
        <f t="shared" si="69"/>
        <v>-5.5796600200017643E-2</v>
      </c>
      <c r="N898">
        <f t="shared" si="66"/>
        <v>-3.7400000000000003E-2</v>
      </c>
      <c r="P898">
        <f t="shared" si="67"/>
        <v>-6.4000000000000001E-2</v>
      </c>
      <c r="Q898">
        <f t="shared" si="68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si="69"/>
        <v>-0.11287389062495555</v>
      </c>
      <c r="N899">
        <f t="shared" ref="N899:N962" si="71">D899-$I$7</f>
        <v>-7.690000000000001E-2</v>
      </c>
      <c r="P899">
        <f t="shared" ref="P899:P962" si="72">B899-0.0025</f>
        <v>-9.2200000000000004E-2</v>
      </c>
      <c r="Q899">
        <f t="shared" ref="Q899:Q962" si="73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ref="L900:L963" si="74">K900-$I$7</f>
        <v>4.9075590524946727E-2</v>
      </c>
      <c r="N900">
        <f t="shared" si="71"/>
        <v>7.4999999999999997E-3</v>
      </c>
      <c r="P900">
        <f t="shared" si="72"/>
        <v>2.4300000000000002E-2</v>
      </c>
      <c r="Q900">
        <f t="shared" si="73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4"/>
        <v>7.3045323425003347E-2</v>
      </c>
      <c r="N901">
        <f t="shared" si="71"/>
        <v>4.5899999999999996E-2</v>
      </c>
      <c r="P901">
        <f t="shared" si="72"/>
        <v>7.46E-2</v>
      </c>
      <c r="Q901">
        <f t="shared" si="73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4"/>
        <v>3.0646000424966364E-2</v>
      </c>
      <c r="N902">
        <f t="shared" si="71"/>
        <v>4.5899999999999996E-2</v>
      </c>
      <c r="P902">
        <f t="shared" si="72"/>
        <v>1.5000000000000001E-2</v>
      </c>
      <c r="Q902">
        <f t="shared" si="73"/>
        <v>4.7300000000000009E-2</v>
      </c>
    </row>
    <row r="903" spans="1:17">
      <c r="A903">
        <v>200201</v>
      </c>
      <c r="B903">
        <v>-1.2999999999999999E-2</v>
      </c>
      <c r="C903">
        <v>1.1899999999999999E-2</v>
      </c>
      <c r="D903">
        <v>-2.3E-3</v>
      </c>
      <c r="K903">
        <f t="shared" si="70"/>
        <v>-9.063691225008462E-3</v>
      </c>
      <c r="L903">
        <f t="shared" si="74"/>
        <v>-1.1563691225008462E-2</v>
      </c>
      <c r="N903">
        <f t="shared" si="71"/>
        <v>-4.8000000000000004E-3</v>
      </c>
      <c r="P903">
        <f t="shared" si="72"/>
        <v>-1.55E-2</v>
      </c>
      <c r="Q903">
        <f t="shared" si="73"/>
        <v>1.1899999999999999E-2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4"/>
        <v>-2.7407822499992889E-2</v>
      </c>
      <c r="N904">
        <f t="shared" si="71"/>
        <v>-2.18E-2</v>
      </c>
      <c r="P904">
        <f t="shared" si="72"/>
        <v>-2.41E-2</v>
      </c>
      <c r="Q904">
        <f t="shared" si="73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5.9000000000000004E-2</v>
      </c>
      <c r="K905">
        <f t="shared" si="70"/>
        <v>5.7625932724970061E-2</v>
      </c>
      <c r="L905">
        <f t="shared" si="74"/>
        <v>5.5125932724970059E-2</v>
      </c>
      <c r="N905">
        <f t="shared" si="71"/>
        <v>5.6500000000000002E-2</v>
      </c>
      <c r="P905">
        <f t="shared" si="72"/>
        <v>4.1200000000000001E-2</v>
      </c>
      <c r="Q905">
        <f t="shared" si="73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4"/>
        <v>-3.3285377900042393E-2</v>
      </c>
      <c r="N906">
        <f t="shared" si="71"/>
        <v>-6.8000000000000005E-3</v>
      </c>
      <c r="P906">
        <f t="shared" si="72"/>
        <v>-5.3000000000000005E-2</v>
      </c>
      <c r="Q906">
        <f t="shared" si="73"/>
        <v>5.96E-2</v>
      </c>
    </row>
    <row r="907" spans="1:17">
      <c r="A907">
        <v>200205</v>
      </c>
      <c r="B907">
        <v>-1.24E-2</v>
      </c>
      <c r="C907">
        <v>-3.2100000000000004E-2</v>
      </c>
      <c r="D907">
        <v>-2.46E-2</v>
      </c>
      <c r="K907">
        <f t="shared" si="70"/>
        <v>-2.301811022497717E-2</v>
      </c>
      <c r="L907">
        <f t="shared" si="74"/>
        <v>-2.5518110224977169E-2</v>
      </c>
      <c r="N907">
        <f t="shared" si="71"/>
        <v>-2.7099999999999999E-2</v>
      </c>
      <c r="P907">
        <f t="shared" si="72"/>
        <v>-1.49E-2</v>
      </c>
      <c r="Q907">
        <f t="shared" si="73"/>
        <v>-3.2100000000000004E-2</v>
      </c>
    </row>
    <row r="908" spans="1:17">
      <c r="A908">
        <v>200206</v>
      </c>
      <c r="B908">
        <v>-7.0800000000000002E-2</v>
      </c>
      <c r="C908">
        <v>4.2800000000000005E-2</v>
      </c>
      <c r="D908">
        <v>-3.44E-2</v>
      </c>
      <c r="K908">
        <f t="shared" si="70"/>
        <v>-5.6642519700030439E-2</v>
      </c>
      <c r="L908">
        <f t="shared" si="74"/>
        <v>-5.9142519700030441E-2</v>
      </c>
      <c r="N908">
        <f t="shared" si="71"/>
        <v>-3.6900000000000002E-2</v>
      </c>
      <c r="P908">
        <f t="shared" si="72"/>
        <v>-7.3300000000000004E-2</v>
      </c>
      <c r="Q908">
        <f t="shared" si="73"/>
        <v>4.2800000000000005E-2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4"/>
        <v>-0.10019914634996259</v>
      </c>
      <c r="N909">
        <f t="shared" si="71"/>
        <v>-0.121</v>
      </c>
      <c r="P909">
        <f t="shared" si="72"/>
        <v>-8.2799999999999999E-2</v>
      </c>
      <c r="Q909">
        <f t="shared" si="73"/>
        <v>-5.2600000000000001E-2</v>
      </c>
    </row>
    <row r="910" spans="1:17">
      <c r="A910">
        <v>200208</v>
      </c>
      <c r="B910">
        <v>6.4000000000000003E-3</v>
      </c>
      <c r="C910">
        <v>-2.8700000000000003E-2</v>
      </c>
      <c r="D910">
        <v>1.3999999999999999E-2</v>
      </c>
      <c r="K910">
        <f t="shared" si="70"/>
        <v>-3.0934505749795884E-3</v>
      </c>
      <c r="L910">
        <f t="shared" si="74"/>
        <v>-5.5934505749795881E-3</v>
      </c>
      <c r="N910">
        <f t="shared" si="71"/>
        <v>1.1499999999999998E-2</v>
      </c>
      <c r="P910">
        <f t="shared" si="72"/>
        <v>3.9000000000000003E-3</v>
      </c>
      <c r="Q910">
        <f t="shared" si="73"/>
        <v>-2.8700000000000003E-2</v>
      </c>
    </row>
    <row r="911" spans="1:17">
      <c r="A911">
        <v>200209</v>
      </c>
      <c r="B911">
        <v>-0.1021</v>
      </c>
      <c r="C911">
        <v>2.4300000000000002E-2</v>
      </c>
      <c r="D911">
        <v>-3.1099999999999999E-2</v>
      </c>
      <c r="K911">
        <f t="shared" si="70"/>
        <v>-9.4061991325017275E-2</v>
      </c>
      <c r="L911">
        <f t="shared" si="74"/>
        <v>-9.6561991325017277E-2</v>
      </c>
      <c r="N911">
        <f t="shared" si="71"/>
        <v>-3.3599999999999998E-2</v>
      </c>
      <c r="P911">
        <f t="shared" si="72"/>
        <v>-0.1046</v>
      </c>
      <c r="Q911">
        <f t="shared" si="73"/>
        <v>2.4300000000000002E-2</v>
      </c>
    </row>
    <row r="912" spans="1:17">
      <c r="A912">
        <v>200210</v>
      </c>
      <c r="B912">
        <v>7.9799999999999996E-2</v>
      </c>
      <c r="C912">
        <v>-3.4100000000000005E-2</v>
      </c>
      <c r="D912">
        <v>5.0900000000000001E-2</v>
      </c>
      <c r="K912">
        <f t="shared" si="70"/>
        <v>6.8520325275024246E-2</v>
      </c>
      <c r="L912">
        <f t="shared" si="74"/>
        <v>6.6020325275024244E-2</v>
      </c>
      <c r="N912">
        <f t="shared" si="71"/>
        <v>4.8399999999999999E-2</v>
      </c>
      <c r="P912">
        <f t="shared" si="72"/>
        <v>7.7299999999999994E-2</v>
      </c>
      <c r="Q912">
        <f t="shared" si="73"/>
        <v>-3.4100000000000005E-2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4"/>
        <v>6.8984266674977021E-2</v>
      </c>
      <c r="N913">
        <f t="shared" si="71"/>
        <v>0.02</v>
      </c>
      <c r="P913">
        <f t="shared" si="72"/>
        <v>5.8299999999999998E-2</v>
      </c>
      <c r="Q913">
        <f t="shared" si="73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4"/>
        <v>-5.8636139525000783E-2</v>
      </c>
      <c r="N914">
        <f t="shared" si="71"/>
        <v>-2.0299999999999999E-2</v>
      </c>
      <c r="P914">
        <f t="shared" si="72"/>
        <v>-5.9000000000000004E-2</v>
      </c>
      <c r="Q914">
        <f t="shared" si="73"/>
        <v>1.1000000000000001E-3</v>
      </c>
    </row>
    <row r="915" spans="1:17">
      <c r="A915">
        <v>200301</v>
      </c>
      <c r="B915">
        <v>-2.47E-2</v>
      </c>
      <c r="C915">
        <v>1.3000000000000001E-2</v>
      </c>
      <c r="D915">
        <v>-1.01E-2</v>
      </c>
      <c r="K915">
        <f t="shared" si="70"/>
        <v>-2.0399830750009243E-2</v>
      </c>
      <c r="L915">
        <f t="shared" si="74"/>
        <v>-2.2899830750009242E-2</v>
      </c>
      <c r="N915">
        <f t="shared" si="71"/>
        <v>-1.26E-2</v>
      </c>
      <c r="P915">
        <f t="shared" si="72"/>
        <v>-2.7199999999999998E-2</v>
      </c>
      <c r="Q915">
        <f t="shared" si="73"/>
        <v>1.3000000000000001E-2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4"/>
        <v>-2.1921598349996727E-2</v>
      </c>
      <c r="N916">
        <f t="shared" si="71"/>
        <v>1.2999999999999999E-3</v>
      </c>
      <c r="P916">
        <f t="shared" si="72"/>
        <v>-2.0399999999999998E-2</v>
      </c>
      <c r="Q916">
        <f t="shared" si="73"/>
        <v>-4.5999999999999999E-3</v>
      </c>
    </row>
    <row r="917" spans="1:17">
      <c r="A917">
        <v>200303</v>
      </c>
      <c r="B917">
        <v>1.1900000000000001E-2</v>
      </c>
      <c r="C917">
        <v>1.0400000000000001E-2</v>
      </c>
      <c r="D917">
        <v>3.8300000000000001E-2</v>
      </c>
      <c r="K917">
        <f t="shared" si="70"/>
        <v>1.5340135399992605E-2</v>
      </c>
      <c r="L917">
        <f t="shared" si="74"/>
        <v>1.2840135399992604E-2</v>
      </c>
      <c r="N917">
        <f t="shared" si="71"/>
        <v>3.5799999999999998E-2</v>
      </c>
      <c r="P917">
        <f t="shared" si="72"/>
        <v>9.4000000000000004E-3</v>
      </c>
      <c r="Q917">
        <f t="shared" si="73"/>
        <v>1.0400000000000001E-2</v>
      </c>
    </row>
    <row r="918" spans="1:17">
      <c r="A918">
        <v>200304</v>
      </c>
      <c r="B918">
        <v>8.320000000000001E-2</v>
      </c>
      <c r="C918">
        <v>6.7000000000000002E-3</v>
      </c>
      <c r="D918">
        <v>4.6200000000000005E-2</v>
      </c>
      <c r="K918">
        <f t="shared" si="70"/>
        <v>8.541624107499525E-2</v>
      </c>
      <c r="L918">
        <f t="shared" si="74"/>
        <v>8.2916241074995248E-2</v>
      </c>
      <c r="N918">
        <f t="shared" si="71"/>
        <v>4.3700000000000003E-2</v>
      </c>
      <c r="P918">
        <f t="shared" si="72"/>
        <v>8.0700000000000008E-2</v>
      </c>
      <c r="Q918">
        <f t="shared" si="73"/>
        <v>6.7000000000000002E-3</v>
      </c>
    </row>
    <row r="919" spans="1:17">
      <c r="A919">
        <v>200305</v>
      </c>
      <c r="B919">
        <v>6.1399999999999996E-2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4"/>
        <v>7.44798439749665E-2</v>
      </c>
      <c r="N919">
        <f t="shared" si="71"/>
        <v>6.83E-2</v>
      </c>
      <c r="P919">
        <f t="shared" si="72"/>
        <v>5.8899999999999994E-2</v>
      </c>
      <c r="Q919">
        <f t="shared" si="73"/>
        <v>4.7100000000000003E-2</v>
      </c>
    </row>
    <row r="920" spans="1:17">
      <c r="A920">
        <v>200306</v>
      </c>
      <c r="B920">
        <v>1.5199999999999998E-2</v>
      </c>
      <c r="C920">
        <v>1.7399999999999999E-2</v>
      </c>
      <c r="D920">
        <v>1.67E-2</v>
      </c>
      <c r="K920">
        <f t="shared" si="70"/>
        <v>2.0955611149987622E-2</v>
      </c>
      <c r="L920">
        <f t="shared" si="74"/>
        <v>1.8455611149987623E-2</v>
      </c>
      <c r="N920">
        <f t="shared" si="71"/>
        <v>1.4199999999999999E-2</v>
      </c>
      <c r="P920">
        <f t="shared" si="72"/>
        <v>1.2699999999999998E-2</v>
      </c>
      <c r="Q920">
        <f t="shared" si="73"/>
        <v>1.7399999999999999E-2</v>
      </c>
    </row>
    <row r="921" spans="1:17">
      <c r="A921">
        <v>200307</v>
      </c>
      <c r="B921">
        <v>2.4199999999999999E-2</v>
      </c>
      <c r="C921">
        <v>5.1100000000000007E-2</v>
      </c>
      <c r="D921">
        <v>3.44E-2</v>
      </c>
      <c r="K921">
        <f t="shared" si="70"/>
        <v>4.110297297496366E-2</v>
      </c>
      <c r="L921">
        <f t="shared" si="74"/>
        <v>3.8602972974963658E-2</v>
      </c>
      <c r="N921">
        <f t="shared" si="71"/>
        <v>3.1899999999999998E-2</v>
      </c>
      <c r="P921">
        <f t="shared" si="72"/>
        <v>2.1700000000000001E-2</v>
      </c>
      <c r="Q921">
        <f t="shared" si="73"/>
        <v>5.1100000000000007E-2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4"/>
        <v>3.0266494949981366E-2</v>
      </c>
      <c r="N922">
        <f t="shared" si="71"/>
        <v>3.8099999999999995E-2</v>
      </c>
      <c r="P922">
        <f t="shared" si="72"/>
        <v>2.1600000000000001E-2</v>
      </c>
      <c r="Q922">
        <f t="shared" si="73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4"/>
        <v>-1.1453742000005689E-2</v>
      </c>
      <c r="N923">
        <f t="shared" si="71"/>
        <v>-1.72E-2</v>
      </c>
      <c r="P923">
        <f t="shared" si="72"/>
        <v>-1.41E-2</v>
      </c>
      <c r="Q923">
        <f t="shared" si="73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4"/>
        <v>6.7699573174981292E-2</v>
      </c>
      <c r="N924">
        <f t="shared" si="71"/>
        <v>0.1152</v>
      </c>
      <c r="P924">
        <f t="shared" si="72"/>
        <v>5.8999999999999997E-2</v>
      </c>
      <c r="Q924">
        <f t="shared" si="73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4"/>
        <v>1.8315644999985777E-2</v>
      </c>
      <c r="N925">
        <f t="shared" si="71"/>
        <v>2.9300000000000003E-2</v>
      </c>
      <c r="P925">
        <f t="shared" si="72"/>
        <v>1.17E-2</v>
      </c>
      <c r="Q925">
        <f t="shared" si="73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-1.2700000000000001E-2</v>
      </c>
      <c r="K926">
        <f t="shared" si="70"/>
        <v>3.4735801025019275E-2</v>
      </c>
      <c r="L926">
        <f t="shared" si="74"/>
        <v>3.2235801025019273E-2</v>
      </c>
      <c r="N926">
        <f t="shared" si="71"/>
        <v>-1.5200000000000002E-2</v>
      </c>
      <c r="P926">
        <f t="shared" si="72"/>
        <v>4.1200000000000001E-2</v>
      </c>
      <c r="Q926">
        <f t="shared" si="73"/>
        <v>-2.7099999999999999E-2</v>
      </c>
    </row>
    <row r="927" spans="1:17">
      <c r="A927">
        <v>200401</v>
      </c>
      <c r="B927">
        <v>2.2199999999999998E-2</v>
      </c>
      <c r="C927">
        <v>2.5400000000000002E-2</v>
      </c>
      <c r="D927">
        <v>3.7000000000000005E-2</v>
      </c>
      <c r="K927">
        <f t="shared" si="70"/>
        <v>3.0601869149981933E-2</v>
      </c>
      <c r="L927">
        <f t="shared" si="74"/>
        <v>2.8101869149981935E-2</v>
      </c>
      <c r="N927">
        <f t="shared" si="71"/>
        <v>3.4500000000000003E-2</v>
      </c>
      <c r="P927">
        <f t="shared" si="72"/>
        <v>1.9699999999999999E-2</v>
      </c>
      <c r="Q927">
        <f t="shared" si="73"/>
        <v>2.5400000000000002E-2</v>
      </c>
    </row>
    <row r="928" spans="1:17">
      <c r="A928">
        <v>200402</v>
      </c>
      <c r="B928">
        <v>1.4599999999999998E-2</v>
      </c>
      <c r="C928">
        <v>-1.52E-2</v>
      </c>
      <c r="D928">
        <v>-1.9E-3</v>
      </c>
      <c r="K928">
        <f t="shared" si="70"/>
        <v>9.5721098000108099E-3</v>
      </c>
      <c r="L928">
        <f t="shared" si="74"/>
        <v>7.0721098000108094E-3</v>
      </c>
      <c r="N928">
        <f t="shared" si="71"/>
        <v>-4.4000000000000003E-3</v>
      </c>
      <c r="P928">
        <f t="shared" si="72"/>
        <v>1.2099999999999998E-2</v>
      </c>
      <c r="Q928">
        <f t="shared" si="73"/>
        <v>-1.52E-2</v>
      </c>
    </row>
    <row r="929" spans="1:17">
      <c r="A929">
        <v>200403</v>
      </c>
      <c r="B929">
        <v>-1.2300000000000002E-2</v>
      </c>
      <c r="C929">
        <v>1.7500000000000002E-2</v>
      </c>
      <c r="D929">
        <v>-1.47E-2</v>
      </c>
      <c r="K929">
        <f t="shared" si="70"/>
        <v>-6.5113106250124474E-3</v>
      </c>
      <c r="L929">
        <f t="shared" si="74"/>
        <v>-9.0113106250124479E-3</v>
      </c>
      <c r="N929">
        <f t="shared" si="71"/>
        <v>-1.72E-2</v>
      </c>
      <c r="P929">
        <f t="shared" si="72"/>
        <v>-1.4800000000000002E-2</v>
      </c>
      <c r="Q929">
        <f t="shared" si="73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4"/>
        <v>-2.5755611149987624E-2</v>
      </c>
      <c r="N930">
        <f t="shared" si="71"/>
        <v>-8.0399999999999999E-2</v>
      </c>
      <c r="P930">
        <f t="shared" si="72"/>
        <v>-0.02</v>
      </c>
      <c r="Q930">
        <f t="shared" si="73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4"/>
        <v>8.9730443750017774E-3</v>
      </c>
      <c r="N931">
        <f t="shared" si="71"/>
        <v>2.5000000000000001E-2</v>
      </c>
      <c r="P931">
        <f t="shared" si="72"/>
        <v>9.7999999999999997E-3</v>
      </c>
      <c r="Q931">
        <f t="shared" si="73"/>
        <v>-2.5000000000000001E-3</v>
      </c>
    </row>
    <row r="932" spans="1:17">
      <c r="A932">
        <v>200406</v>
      </c>
      <c r="B932">
        <v>1.9400000000000001E-2</v>
      </c>
      <c r="C932">
        <v>2.2799999999999997E-2</v>
      </c>
      <c r="D932">
        <v>1.7899999999999999E-2</v>
      </c>
      <c r="K932">
        <f t="shared" si="70"/>
        <v>2.6941835299983785E-2</v>
      </c>
      <c r="L932">
        <f t="shared" si="74"/>
        <v>2.4441835299983786E-2</v>
      </c>
      <c r="N932">
        <f t="shared" si="71"/>
        <v>1.5399999999999999E-2</v>
      </c>
      <c r="P932">
        <f t="shared" si="72"/>
        <v>1.6900000000000002E-2</v>
      </c>
      <c r="Q932">
        <f t="shared" si="73"/>
        <v>2.2799999999999997E-2</v>
      </c>
    </row>
    <row r="933" spans="1:17">
      <c r="A933">
        <v>200407</v>
      </c>
      <c r="B933">
        <v>-3.9599999999999996E-2</v>
      </c>
      <c r="C933">
        <v>-3.7999999999999999E-2</v>
      </c>
      <c r="D933">
        <v>-8.7400000000000005E-2</v>
      </c>
      <c r="K933">
        <f t="shared" si="70"/>
        <v>-5.2169725499972966E-2</v>
      </c>
      <c r="L933">
        <f t="shared" si="74"/>
        <v>-5.4669725499972968E-2</v>
      </c>
      <c r="N933">
        <f t="shared" si="71"/>
        <v>-8.9900000000000008E-2</v>
      </c>
      <c r="P933">
        <f t="shared" si="72"/>
        <v>-4.2099999999999999E-2</v>
      </c>
      <c r="Q933">
        <f t="shared" si="73"/>
        <v>-3.7999999999999999E-2</v>
      </c>
    </row>
    <row r="934" spans="1:17">
      <c r="A934">
        <v>200408</v>
      </c>
      <c r="B934">
        <v>1.9000000000000002E-3</v>
      </c>
      <c r="C934">
        <v>-1.49E-2</v>
      </c>
      <c r="D934">
        <v>-2.1400000000000002E-2</v>
      </c>
      <c r="K934">
        <f t="shared" si="70"/>
        <v>-3.028655524989403E-3</v>
      </c>
      <c r="L934">
        <f t="shared" si="74"/>
        <v>-5.528655524989403E-3</v>
      </c>
      <c r="N934">
        <f t="shared" si="71"/>
        <v>-2.3900000000000001E-2</v>
      </c>
      <c r="P934">
        <f t="shared" si="72"/>
        <v>-5.9999999999999984E-4</v>
      </c>
      <c r="Q934">
        <f t="shared" si="73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4"/>
        <v>2.4589623949978524E-2</v>
      </c>
      <c r="N935">
        <f t="shared" si="71"/>
        <v>7.0999999999999994E-2</v>
      </c>
      <c r="P935">
        <f t="shared" si="72"/>
        <v>1.46E-2</v>
      </c>
      <c r="Q935">
        <f t="shared" si="73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4"/>
        <v>1.3396173374998934E-2</v>
      </c>
      <c r="N936">
        <f t="shared" si="71"/>
        <v>1.6800000000000002E-2</v>
      </c>
      <c r="P936">
        <f t="shared" si="72"/>
        <v>1.29E-2</v>
      </c>
      <c r="Q936">
        <f t="shared" si="73"/>
        <v>1.5E-3</v>
      </c>
    </row>
    <row r="937" spans="1:17">
      <c r="A937">
        <v>200411</v>
      </c>
      <c r="B937">
        <v>4.6900000000000004E-2</v>
      </c>
      <c r="C937">
        <v>3.73E-2</v>
      </c>
      <c r="D937">
        <v>9.8800000000000013E-2</v>
      </c>
      <c r="K937">
        <f t="shared" si="70"/>
        <v>5.9238177924973476E-2</v>
      </c>
      <c r="L937">
        <f t="shared" si="74"/>
        <v>5.6738177924973474E-2</v>
      </c>
      <c r="N937">
        <f t="shared" si="71"/>
        <v>9.6300000000000011E-2</v>
      </c>
      <c r="P937">
        <f t="shared" si="72"/>
        <v>4.4400000000000002E-2</v>
      </c>
      <c r="Q937">
        <f t="shared" si="73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4"/>
        <v>3.330076532500021E-2</v>
      </c>
      <c r="N938">
        <f t="shared" si="71"/>
        <v>1.84E-2</v>
      </c>
      <c r="P938">
        <f t="shared" si="72"/>
        <v>3.3399999999999999E-2</v>
      </c>
      <c r="Q938">
        <f t="shared" si="73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-4.1100000000000005E-2</v>
      </c>
      <c r="K939">
        <f t="shared" si="70"/>
        <v>-3.1689454699987768E-2</v>
      </c>
      <c r="L939">
        <f t="shared" si="74"/>
        <v>-3.418945469998777E-2</v>
      </c>
      <c r="N939">
        <f t="shared" si="71"/>
        <v>-4.3600000000000007E-2</v>
      </c>
      <c r="P939">
        <f t="shared" si="72"/>
        <v>-2.8499999999999998E-2</v>
      </c>
      <c r="Q939">
        <f t="shared" si="73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4"/>
        <v>1.6114541175004056E-2</v>
      </c>
      <c r="N940">
        <f t="shared" si="71"/>
        <v>5.21E-2</v>
      </c>
      <c r="P940">
        <f t="shared" si="72"/>
        <v>1.8000000000000002E-2</v>
      </c>
      <c r="Q940">
        <f t="shared" si="73"/>
        <v>-5.6999999999999993E-3</v>
      </c>
    </row>
    <row r="941" spans="1:17">
      <c r="A941">
        <v>200503</v>
      </c>
      <c r="B941">
        <v>-1.7599999999999998E-2</v>
      </c>
      <c r="C941">
        <v>-1.3999999999999999E-2</v>
      </c>
      <c r="D941">
        <v>-1.6E-2</v>
      </c>
      <c r="K941">
        <f t="shared" si="70"/>
        <v>-2.2230951499990041E-2</v>
      </c>
      <c r="L941">
        <f t="shared" si="74"/>
        <v>-2.473095149999004E-2</v>
      </c>
      <c r="N941">
        <f t="shared" si="71"/>
        <v>-1.8499999999999999E-2</v>
      </c>
      <c r="P941">
        <f t="shared" si="72"/>
        <v>-2.0099999999999996E-2</v>
      </c>
      <c r="Q941">
        <f t="shared" si="73"/>
        <v>-1.3999999999999999E-2</v>
      </c>
    </row>
    <row r="942" spans="1:17">
      <c r="A942">
        <v>200504</v>
      </c>
      <c r="B942">
        <v>-2.3999999999999997E-2</v>
      </c>
      <c r="C942">
        <v>-3.9300000000000002E-2</v>
      </c>
      <c r="D942">
        <v>-6.4699999999999994E-2</v>
      </c>
      <c r="K942">
        <f t="shared" si="70"/>
        <v>-3.6999742424972046E-2</v>
      </c>
      <c r="L942">
        <f t="shared" si="74"/>
        <v>-3.9499742424972048E-2</v>
      </c>
      <c r="N942">
        <f t="shared" si="71"/>
        <v>-6.7199999999999996E-2</v>
      </c>
      <c r="P942">
        <f t="shared" si="72"/>
        <v>-2.6499999999999996E-2</v>
      </c>
      <c r="Q942">
        <f t="shared" si="73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4"/>
        <v>4.5926528799979514E-2</v>
      </c>
      <c r="N943">
        <f t="shared" si="71"/>
        <v>6.3E-2</v>
      </c>
      <c r="P943">
        <f t="shared" si="72"/>
        <v>3.6399999999999995E-2</v>
      </c>
      <c r="Q943">
        <f t="shared" si="73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5.5700000000000006E-2</v>
      </c>
      <c r="K944">
        <f t="shared" si="70"/>
        <v>1.6567260274981579E-2</v>
      </c>
      <c r="L944">
        <f t="shared" si="74"/>
        <v>1.4067260274981579E-2</v>
      </c>
      <c r="N944">
        <f t="shared" si="71"/>
        <v>5.3200000000000004E-2</v>
      </c>
      <c r="P944">
        <f t="shared" si="72"/>
        <v>5.4999999999999997E-3</v>
      </c>
      <c r="Q944">
        <f t="shared" si="73"/>
        <v>2.5899999999999999E-2</v>
      </c>
    </row>
    <row r="945" spans="1:17">
      <c r="A945">
        <v>200507</v>
      </c>
      <c r="B945">
        <v>4.1599999999999998E-2</v>
      </c>
      <c r="C945">
        <v>2.8999999999999998E-2</v>
      </c>
      <c r="D945">
        <v>6.0400000000000002E-2</v>
      </c>
      <c r="K945">
        <f t="shared" si="70"/>
        <v>5.1192685249979372E-2</v>
      </c>
      <c r="L945">
        <f t="shared" si="74"/>
        <v>4.869268524997937E-2</v>
      </c>
      <c r="N945">
        <f t="shared" si="71"/>
        <v>5.79E-2</v>
      </c>
      <c r="P945">
        <f t="shared" si="72"/>
        <v>3.9099999999999996E-2</v>
      </c>
      <c r="Q945">
        <f t="shared" si="73"/>
        <v>2.8999999999999998E-2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4"/>
        <v>-1.494166604999303E-2</v>
      </c>
      <c r="N946">
        <f t="shared" si="71"/>
        <v>7.7999999999999996E-3</v>
      </c>
      <c r="P946">
        <f t="shared" si="72"/>
        <v>-1.17E-2</v>
      </c>
      <c r="Q946">
        <f t="shared" si="73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4"/>
        <v>3.0837589250047649E-3</v>
      </c>
      <c r="N947">
        <f t="shared" si="71"/>
        <v>3.6299999999999999E-2</v>
      </c>
      <c r="P947">
        <f t="shared" si="72"/>
        <v>5.2999999999999992E-3</v>
      </c>
      <c r="Q947">
        <f t="shared" si="73"/>
        <v>-6.7000000000000002E-3</v>
      </c>
    </row>
    <row r="948" spans="1:17">
      <c r="A948">
        <v>200510</v>
      </c>
      <c r="B948">
        <v>-1.7499999999999998E-2</v>
      </c>
      <c r="C948">
        <v>-1.23E-2</v>
      </c>
      <c r="D948">
        <v>-2.7900000000000001E-2</v>
      </c>
      <c r="K948">
        <f t="shared" si="70"/>
        <v>-2.156862167499125E-2</v>
      </c>
      <c r="L948">
        <f t="shared" si="74"/>
        <v>-2.4068621674991249E-2</v>
      </c>
      <c r="N948">
        <f t="shared" si="71"/>
        <v>-3.04E-2</v>
      </c>
      <c r="P948">
        <f t="shared" si="72"/>
        <v>-1.9999999999999997E-2</v>
      </c>
      <c r="Q948">
        <f t="shared" si="73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4"/>
        <v>3.9974744274992959E-2</v>
      </c>
      <c r="N949">
        <f t="shared" si="71"/>
        <v>2.9100000000000004E-2</v>
      </c>
      <c r="P949">
        <f t="shared" si="72"/>
        <v>3.6699999999999997E-2</v>
      </c>
      <c r="Q949">
        <f t="shared" si="73"/>
        <v>9.9000000000000008E-3</v>
      </c>
    </row>
    <row r="950" spans="1:17">
      <c r="A950">
        <v>200512</v>
      </c>
      <c r="B950">
        <v>7.000000000000001E-4</v>
      </c>
      <c r="C950">
        <v>-4.0999999999999995E-3</v>
      </c>
      <c r="D950">
        <v>1.8000000000000002E-2</v>
      </c>
      <c r="K950">
        <f t="shared" si="70"/>
        <v>-6.562072249970837E-4</v>
      </c>
      <c r="L950">
        <f t="shared" si="74"/>
        <v>-3.1562072249970837E-3</v>
      </c>
      <c r="N950">
        <f t="shared" si="71"/>
        <v>1.5500000000000002E-2</v>
      </c>
      <c r="P950">
        <f t="shared" si="72"/>
        <v>-1.8E-3</v>
      </c>
      <c r="Q950">
        <f t="shared" si="73"/>
        <v>-4.0999999999999995E-3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4"/>
        <v>4.9328397949961453E-2</v>
      </c>
      <c r="N951">
        <f t="shared" si="71"/>
        <v>9.6799999999999997E-2</v>
      </c>
      <c r="P951">
        <f t="shared" si="72"/>
        <v>3.1399999999999997E-2</v>
      </c>
      <c r="Q951">
        <f t="shared" si="73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4"/>
        <v>-3.4231289999971551E-3</v>
      </c>
      <c r="N952">
        <f t="shared" si="71"/>
        <v>-5.5800000000000002E-2</v>
      </c>
      <c r="P952">
        <f t="shared" si="72"/>
        <v>-2.0999999999999999E-3</v>
      </c>
      <c r="Q952">
        <f t="shared" si="73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4.5899999999999996E-2</v>
      </c>
      <c r="K953">
        <f t="shared" si="70"/>
        <v>2.9711987624975462E-2</v>
      </c>
      <c r="L953">
        <f t="shared" si="74"/>
        <v>2.7211987624975464E-2</v>
      </c>
      <c r="N953">
        <f t="shared" si="71"/>
        <v>4.3399999999999994E-2</v>
      </c>
      <c r="P953">
        <f t="shared" si="72"/>
        <v>1.5800000000000002E-2</v>
      </c>
      <c r="Q953">
        <f t="shared" si="73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4"/>
        <v>3.6698138250101701E-3</v>
      </c>
      <c r="N954">
        <f t="shared" si="71"/>
        <v>1.7000000000000001E-2</v>
      </c>
      <c r="P954">
        <f t="shared" si="72"/>
        <v>8.3999999999999995E-3</v>
      </c>
      <c r="Q954">
        <f t="shared" si="73"/>
        <v>-1.43E-2</v>
      </c>
    </row>
    <row r="955" spans="1:17">
      <c r="A955">
        <v>200605</v>
      </c>
      <c r="B955">
        <v>-3.1400000000000004E-2</v>
      </c>
      <c r="C955">
        <v>-2.98E-2</v>
      </c>
      <c r="D955">
        <v>-7.980000000000001E-2</v>
      </c>
      <c r="K955">
        <f t="shared" si="70"/>
        <v>-4.1257311049978811E-2</v>
      </c>
      <c r="L955">
        <f t="shared" si="74"/>
        <v>-4.3757311049978813E-2</v>
      </c>
      <c r="N955">
        <f t="shared" si="71"/>
        <v>-8.2300000000000012E-2</v>
      </c>
      <c r="P955">
        <f t="shared" si="72"/>
        <v>-3.3900000000000007E-2</v>
      </c>
      <c r="Q955">
        <f t="shared" si="73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4"/>
        <v>-3.2569725499972972E-3</v>
      </c>
      <c r="N956">
        <f t="shared" si="71"/>
        <v>-9.4999999999999998E-3</v>
      </c>
      <c r="P956">
        <f t="shared" si="72"/>
        <v>-1.9999999999999996E-3</v>
      </c>
      <c r="Q956">
        <f t="shared" si="73"/>
        <v>-3.8E-3</v>
      </c>
    </row>
    <row r="957" spans="1:17">
      <c r="A957">
        <v>200607</v>
      </c>
      <c r="B957">
        <v>-3.8000000000000004E-3</v>
      </c>
      <c r="C957">
        <v>-3.9900000000000005E-2</v>
      </c>
      <c r="D957">
        <v>-6.3100000000000003E-2</v>
      </c>
      <c r="K957">
        <f t="shared" si="70"/>
        <v>-1.6998211774971624E-2</v>
      </c>
      <c r="L957">
        <f t="shared" si="74"/>
        <v>-1.9498211774971623E-2</v>
      </c>
      <c r="N957">
        <f t="shared" si="71"/>
        <v>-6.5600000000000006E-2</v>
      </c>
      <c r="P957">
        <f t="shared" si="72"/>
        <v>-6.3E-3</v>
      </c>
      <c r="Q957">
        <f t="shared" si="73"/>
        <v>-3.9900000000000005E-2</v>
      </c>
    </row>
    <row r="958" spans="1:17">
      <c r="A958">
        <v>200608</v>
      </c>
      <c r="B958">
        <v>2.4499999999999997E-2</v>
      </c>
      <c r="C958">
        <v>1.01E-2</v>
      </c>
      <c r="D958">
        <v>-2.0400000000000001E-2</v>
      </c>
      <c r="K958">
        <f t="shared" si="70"/>
        <v>2.7840900724992814E-2</v>
      </c>
      <c r="L958">
        <f t="shared" si="74"/>
        <v>2.5340900724992815E-2</v>
      </c>
      <c r="N958">
        <f t="shared" si="71"/>
        <v>-2.29E-2</v>
      </c>
      <c r="P958">
        <f t="shared" si="72"/>
        <v>2.1999999999999999E-2</v>
      </c>
      <c r="Q958">
        <f t="shared" si="73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4"/>
        <v>1.5567517850009529E-2</v>
      </c>
      <c r="N959">
        <f t="shared" si="71"/>
        <v>1.6900000000000002E-2</v>
      </c>
      <c r="P959">
        <f t="shared" si="72"/>
        <v>0.02</v>
      </c>
      <c r="Q959">
        <f t="shared" si="73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4"/>
        <v>3.9589454699987765E-2</v>
      </c>
      <c r="N960">
        <f t="shared" si="71"/>
        <v>6.2199999999999991E-2</v>
      </c>
      <c r="P960">
        <f t="shared" si="72"/>
        <v>3.39E-2</v>
      </c>
      <c r="Q960">
        <f t="shared" si="73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4"/>
        <v>2.1181632199994881E-2</v>
      </c>
      <c r="N961">
        <f t="shared" si="71"/>
        <v>1.9800000000000002E-2</v>
      </c>
      <c r="P961">
        <f t="shared" si="72"/>
        <v>1.8800000000000001E-2</v>
      </c>
      <c r="Q961">
        <f t="shared" si="73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4"/>
        <v>6.4621605750080358E-3</v>
      </c>
      <c r="N962">
        <f t="shared" si="71"/>
        <v>6.0999999999999995E-3</v>
      </c>
      <c r="P962">
        <f t="shared" si="72"/>
        <v>1.0199999999999999E-2</v>
      </c>
      <c r="Q962">
        <f t="shared" si="73"/>
        <v>-1.1299999999999999E-2</v>
      </c>
    </row>
    <row r="963" spans="1:17">
      <c r="A963">
        <v>200701</v>
      </c>
      <c r="B963">
        <v>1.84E-2</v>
      </c>
      <c r="C963">
        <v>1.4000000000000002E-3</v>
      </c>
      <c r="D963">
        <v>3.1699999999999999E-2</v>
      </c>
      <c r="K963">
        <f t="shared" ref="K963:K1026" si="75">SUMPRODUCT($G$12:$H$12,B963:C963)</f>
        <v>1.8863095149999003E-2</v>
      </c>
      <c r="L963">
        <f t="shared" si="74"/>
        <v>1.6363095149999004E-2</v>
      </c>
      <c r="N963">
        <f t="shared" ref="N963:N1026" si="76">D963-$I$7</f>
        <v>2.92E-2</v>
      </c>
      <c r="P963">
        <f t="shared" ref="P963:P1026" si="77">B963-0.0025</f>
        <v>1.5900000000000001E-2</v>
      </c>
      <c r="Q963">
        <f t="shared" ref="Q963:Q1026" si="78">C963</f>
        <v>1.4000000000000002E-3</v>
      </c>
    </row>
    <row r="964" spans="1:17">
      <c r="A964">
        <v>200702</v>
      </c>
      <c r="B964">
        <v>-1.5799999999999998E-2</v>
      </c>
      <c r="C964">
        <v>1.18E-2</v>
      </c>
      <c r="D964">
        <v>-2.7099999999999999E-2</v>
      </c>
      <c r="K964">
        <f t="shared" si="75"/>
        <v>-1.189676945000839E-2</v>
      </c>
      <c r="L964">
        <f t="shared" ref="L964:L1027" si="79">K964-$I$7</f>
        <v>-1.439676945000839E-2</v>
      </c>
      <c r="N964">
        <f t="shared" si="76"/>
        <v>-2.9599999999999998E-2</v>
      </c>
      <c r="P964">
        <f t="shared" si="77"/>
        <v>-1.8299999999999997E-2</v>
      </c>
      <c r="Q964">
        <f t="shared" si="78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9"/>
        <v>9.0961733749989337E-3</v>
      </c>
      <c r="N965">
        <f t="shared" si="76"/>
        <v>1.7000000000000001E-2</v>
      </c>
      <c r="P965">
        <f t="shared" si="77"/>
        <v>8.6E-3</v>
      </c>
      <c r="Q965">
        <f t="shared" si="78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9"/>
        <v>2.9622025175015432E-2</v>
      </c>
      <c r="N966">
        <f t="shared" si="76"/>
        <v>1.9E-2</v>
      </c>
      <c r="P966">
        <f t="shared" si="77"/>
        <v>3.6799999999999999E-2</v>
      </c>
      <c r="Q966">
        <f t="shared" si="78"/>
        <v>-2.1700000000000001E-2</v>
      </c>
    </row>
    <row r="967" spans="1:17">
      <c r="A967">
        <v>200705</v>
      </c>
      <c r="B967">
        <v>3.6500000000000005E-2</v>
      </c>
      <c r="C967">
        <v>2.3E-3</v>
      </c>
      <c r="D967">
        <v>5.3600000000000002E-2</v>
      </c>
      <c r="K967">
        <f t="shared" si="75"/>
        <v>3.7260799174998367E-2</v>
      </c>
      <c r="L967">
        <f t="shared" si="79"/>
        <v>3.4760799174998365E-2</v>
      </c>
      <c r="N967">
        <f t="shared" si="76"/>
        <v>5.11E-2</v>
      </c>
      <c r="P967">
        <f t="shared" si="77"/>
        <v>3.4000000000000002E-2</v>
      </c>
      <c r="Q967">
        <f t="shared" si="78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9"/>
        <v>-1.5586054900005405E-2</v>
      </c>
      <c r="N968">
        <f t="shared" si="76"/>
        <v>-1.7299999999999999E-2</v>
      </c>
      <c r="P968">
        <f t="shared" si="77"/>
        <v>-1.8099999999999998E-2</v>
      </c>
      <c r="Q968">
        <f t="shared" si="78"/>
        <v>7.6E-3</v>
      </c>
    </row>
    <row r="969" spans="1:17">
      <c r="A969">
        <v>200707</v>
      </c>
      <c r="B969">
        <v>-3.3299999999999996E-2</v>
      </c>
      <c r="C969">
        <v>-2.6099999999999998E-2</v>
      </c>
      <c r="D969">
        <v>-1.6299999999999999E-2</v>
      </c>
      <c r="K969">
        <f t="shared" si="75"/>
        <v>-4.1933416724981437E-2</v>
      </c>
      <c r="L969">
        <f t="shared" si="79"/>
        <v>-4.4433416724981439E-2</v>
      </c>
      <c r="N969">
        <f t="shared" si="76"/>
        <v>-1.8799999999999997E-2</v>
      </c>
      <c r="P969">
        <f t="shared" si="77"/>
        <v>-3.5799999999999998E-2</v>
      </c>
      <c r="Q969">
        <f t="shared" si="78"/>
        <v>-2.6099999999999998E-2</v>
      </c>
    </row>
    <row r="970" spans="1:17">
      <c r="A970">
        <v>200708</v>
      </c>
      <c r="B970">
        <v>1.3399999999999999E-2</v>
      </c>
      <c r="C970">
        <v>-1.4000000000000002E-3</v>
      </c>
      <c r="D970">
        <v>1.89E-2</v>
      </c>
      <c r="K970">
        <f t="shared" si="75"/>
        <v>1.2936904850000994E-2</v>
      </c>
      <c r="L970">
        <f t="shared" si="79"/>
        <v>1.0436904850000994E-2</v>
      </c>
      <c r="N970">
        <f t="shared" si="76"/>
        <v>1.6400000000000001E-2</v>
      </c>
      <c r="P970">
        <f t="shared" si="77"/>
        <v>1.0899999999999998E-2</v>
      </c>
      <c r="Q970">
        <f t="shared" si="78"/>
        <v>-1.4000000000000002E-3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9"/>
        <v>2.5556634050015792E-2</v>
      </c>
      <c r="N971">
        <f t="shared" si="76"/>
        <v>7.7199999999999991E-2</v>
      </c>
      <c r="P971">
        <f t="shared" si="77"/>
        <v>3.2899999999999999E-2</v>
      </c>
      <c r="Q971">
        <f t="shared" si="78"/>
        <v>-2.2200000000000001E-2</v>
      </c>
    </row>
    <row r="972" spans="1:17">
      <c r="A972">
        <v>200710</v>
      </c>
      <c r="B972">
        <v>2.1200000000000004E-2</v>
      </c>
      <c r="C972">
        <v>1.1999999999999999E-3</v>
      </c>
      <c r="D972">
        <v>7.8E-2</v>
      </c>
      <c r="K972">
        <f t="shared" si="75"/>
        <v>2.1596938699999148E-2</v>
      </c>
      <c r="L972">
        <f t="shared" si="79"/>
        <v>1.909693869999915E-2</v>
      </c>
      <c r="N972">
        <f t="shared" si="76"/>
        <v>7.5499999999999998E-2</v>
      </c>
      <c r="P972">
        <f t="shared" si="77"/>
        <v>1.8700000000000005E-2</v>
      </c>
      <c r="Q972">
        <f t="shared" si="78"/>
        <v>1.1999999999999999E-3</v>
      </c>
    </row>
    <row r="973" spans="1:17">
      <c r="A973">
        <v>200711</v>
      </c>
      <c r="B973">
        <v>-4.4900000000000002E-2</v>
      </c>
      <c r="C973">
        <v>-2.9300000000000003E-2</v>
      </c>
      <c r="D973">
        <v>-6.0300000000000006E-2</v>
      </c>
      <c r="K973">
        <f t="shared" si="75"/>
        <v>-5.4591919924979165E-2</v>
      </c>
      <c r="L973">
        <f t="shared" si="79"/>
        <v>-5.7091919924979168E-2</v>
      </c>
      <c r="N973">
        <f t="shared" si="76"/>
        <v>-6.2800000000000009E-2</v>
      </c>
      <c r="P973">
        <f t="shared" si="77"/>
        <v>-4.7400000000000005E-2</v>
      </c>
      <c r="Q973">
        <f t="shared" si="78"/>
        <v>-2.9300000000000003E-2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9"/>
        <v>-7.9707484000011378E-3</v>
      </c>
      <c r="N974">
        <f t="shared" si="76"/>
        <v>4.1100000000000005E-2</v>
      </c>
      <c r="P974">
        <f t="shared" si="77"/>
        <v>-8.4999999999999989E-3</v>
      </c>
      <c r="Q974">
        <f t="shared" si="78"/>
        <v>1.6000000000000001E-3</v>
      </c>
    </row>
    <row r="975" spans="1:17">
      <c r="A975">
        <v>200801</v>
      </c>
      <c r="B975">
        <v>-6.1500000000000006E-2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9"/>
        <v>-6.7241666049993043E-2</v>
      </c>
      <c r="N975">
        <f t="shared" si="76"/>
        <v>-0.13450000000000001</v>
      </c>
      <c r="P975">
        <f t="shared" si="77"/>
        <v>-6.4000000000000001E-2</v>
      </c>
      <c r="Q975">
        <f t="shared" si="78"/>
        <v>-9.7999999999999997E-3</v>
      </c>
    </row>
    <row r="976" spans="1:17">
      <c r="A976">
        <v>200802</v>
      </c>
      <c r="B976">
        <v>-2.9600000000000001E-2</v>
      </c>
      <c r="C976">
        <v>-4.0999999999999995E-3</v>
      </c>
      <c r="D976">
        <v>2.1000000000000001E-2</v>
      </c>
      <c r="K976">
        <f t="shared" si="75"/>
        <v>-3.0956207224997086E-2</v>
      </c>
      <c r="L976">
        <f t="shared" si="79"/>
        <v>-3.3456207224997085E-2</v>
      </c>
      <c r="N976">
        <f t="shared" si="76"/>
        <v>1.8500000000000003E-2</v>
      </c>
      <c r="P976">
        <f t="shared" si="77"/>
        <v>-3.2100000000000004E-2</v>
      </c>
      <c r="Q976">
        <f t="shared" si="78"/>
        <v>-4.0999999999999995E-3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9"/>
        <v>-7.552976675005478E-3</v>
      </c>
      <c r="N977">
        <f t="shared" si="76"/>
        <v>-4.3E-3</v>
      </c>
      <c r="P977">
        <f t="shared" si="77"/>
        <v>-1.0100000000000001E-2</v>
      </c>
      <c r="Q977">
        <f t="shared" si="78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9"/>
        <v>3.9610545300012234E-2</v>
      </c>
      <c r="N978">
        <f t="shared" si="76"/>
        <v>9.4700000000000006E-2</v>
      </c>
      <c r="P978">
        <f t="shared" si="77"/>
        <v>4.53E-2</v>
      </c>
      <c r="Q978">
        <f t="shared" si="78"/>
        <v>-1.72E-2</v>
      </c>
    </row>
    <row r="979" spans="1:17">
      <c r="A979">
        <v>200805</v>
      </c>
      <c r="B979">
        <v>2.0400000000000001E-2</v>
      </c>
      <c r="C979">
        <v>2.9500000000000002E-2</v>
      </c>
      <c r="D979">
        <v>6.9900000000000004E-2</v>
      </c>
      <c r="K979">
        <f t="shared" si="75"/>
        <v>3.0158076374979019E-2</v>
      </c>
      <c r="L979">
        <f t="shared" si="79"/>
        <v>2.765807637497902E-2</v>
      </c>
      <c r="N979">
        <f t="shared" si="76"/>
        <v>6.7400000000000002E-2</v>
      </c>
      <c r="P979">
        <f t="shared" si="77"/>
        <v>1.7900000000000003E-2</v>
      </c>
      <c r="Q979">
        <f t="shared" si="78"/>
        <v>2.9500000000000002E-2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9"/>
        <v>-8.1098300100008819E-2</v>
      </c>
      <c r="N980">
        <f t="shared" si="76"/>
        <v>-7.2999999999999992E-3</v>
      </c>
      <c r="P980">
        <f t="shared" si="77"/>
        <v>-8.5199999999999998E-2</v>
      </c>
      <c r="Q980">
        <f t="shared" si="78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9"/>
        <v>-2.3197440001820674E-4</v>
      </c>
      <c r="N981">
        <f t="shared" si="76"/>
        <v>-9.7900000000000001E-2</v>
      </c>
      <c r="P981">
        <f t="shared" si="77"/>
        <v>-8.7000000000000011E-3</v>
      </c>
      <c r="Q981">
        <f t="shared" si="78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-2.8900000000000002E-2</v>
      </c>
      <c r="K982">
        <f t="shared" si="75"/>
        <v>2.8177378749975109E-2</v>
      </c>
      <c r="L982">
        <f t="shared" si="79"/>
        <v>2.567737874997511E-2</v>
      </c>
      <c r="N982">
        <f t="shared" si="76"/>
        <v>-3.1400000000000004E-2</v>
      </c>
      <c r="P982">
        <f t="shared" si="77"/>
        <v>1.41E-2</v>
      </c>
      <c r="Q982">
        <f t="shared" si="78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9"/>
        <v>-9.750169989999119E-2</v>
      </c>
      <c r="N983">
        <f t="shared" si="76"/>
        <v>-0.15440000000000001</v>
      </c>
      <c r="P983">
        <f t="shared" si="77"/>
        <v>-9.3400000000000011E-2</v>
      </c>
      <c r="Q983">
        <f t="shared" si="78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9"/>
        <v>-0.18233571269998208</v>
      </c>
      <c r="N984">
        <f t="shared" si="76"/>
        <v>-0.15210000000000001</v>
      </c>
      <c r="P984">
        <f t="shared" si="77"/>
        <v>-0.17400000000000002</v>
      </c>
      <c r="Q984">
        <f t="shared" si="78"/>
        <v>-2.52E-2</v>
      </c>
    </row>
    <row r="985" spans="1:17">
      <c r="A985">
        <v>200811</v>
      </c>
      <c r="B985">
        <v>-7.8300000000000008E-2</v>
      </c>
      <c r="C985">
        <v>-2.8700000000000003E-2</v>
      </c>
      <c r="D985">
        <v>-8.5300000000000001E-2</v>
      </c>
      <c r="K985">
        <f t="shared" si="75"/>
        <v>-8.7793450574979601E-2</v>
      </c>
      <c r="L985">
        <f t="shared" si="79"/>
        <v>-9.0293450574979603E-2</v>
      </c>
      <c r="N985">
        <f t="shared" si="76"/>
        <v>-8.7800000000000003E-2</v>
      </c>
      <c r="P985">
        <f t="shared" si="77"/>
        <v>-8.0800000000000011E-2</v>
      </c>
      <c r="Q985">
        <f t="shared" si="78"/>
        <v>-2.8700000000000003E-2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9"/>
        <v>2.6444300524975178E-2</v>
      </c>
      <c r="N986">
        <f t="shared" si="76"/>
        <v>5.1000000000000004E-3</v>
      </c>
      <c r="P986">
        <f t="shared" si="77"/>
        <v>1.4899999999999998E-2</v>
      </c>
      <c r="Q986">
        <f t="shared" si="78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9"/>
        <v>-8.3104591950001278E-2</v>
      </c>
      <c r="N987">
        <f t="shared" si="76"/>
        <v>-0.12330000000000001</v>
      </c>
      <c r="P987">
        <f t="shared" si="77"/>
        <v>-8.3699999999999997E-2</v>
      </c>
      <c r="Q987">
        <f t="shared" si="78"/>
        <v>1.8E-3</v>
      </c>
    </row>
    <row r="988" spans="1:17">
      <c r="A988">
        <v>200902</v>
      </c>
      <c r="B988">
        <v>-0.10089999999999999</v>
      </c>
      <c r="C988">
        <v>1.3000000000000002E-3</v>
      </c>
      <c r="D988">
        <v>-4.5599999999999995E-2</v>
      </c>
      <c r="K988">
        <f t="shared" si="75"/>
        <v>-0.10046998307500092</v>
      </c>
      <c r="L988">
        <f t="shared" si="79"/>
        <v>-0.10296998307500092</v>
      </c>
      <c r="N988">
        <f t="shared" si="76"/>
        <v>-4.8099999999999997E-2</v>
      </c>
      <c r="P988">
        <f t="shared" si="77"/>
        <v>-0.10339999999999999</v>
      </c>
      <c r="Q988">
        <f t="shared" si="78"/>
        <v>1.3000000000000002E-3</v>
      </c>
    </row>
    <row r="989" spans="1:17">
      <c r="A989">
        <v>200903</v>
      </c>
      <c r="B989">
        <v>8.9700000000000002E-2</v>
      </c>
      <c r="C989">
        <v>0</v>
      </c>
      <c r="D989">
        <v>4.8499999999999995E-2</v>
      </c>
      <c r="K989">
        <f t="shared" si="75"/>
        <v>8.9700000000000002E-2</v>
      </c>
      <c r="L989">
        <f t="shared" si="79"/>
        <v>8.72E-2</v>
      </c>
      <c r="N989">
        <f t="shared" si="76"/>
        <v>4.5999999999999992E-2</v>
      </c>
      <c r="P989">
        <f t="shared" si="77"/>
        <v>8.72E-2</v>
      </c>
      <c r="Q989">
        <f t="shared" si="78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9"/>
        <v>0.11686530279996245</v>
      </c>
      <c r="N990">
        <f t="shared" si="76"/>
        <v>-5.7000000000000002E-3</v>
      </c>
      <c r="P990">
        <f t="shared" si="77"/>
        <v>9.9400000000000002E-2</v>
      </c>
      <c r="Q990">
        <f t="shared" si="78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1.8000000000000002E-2</v>
      </c>
      <c r="K991">
        <f t="shared" si="75"/>
        <v>4.3764287300017926E-2</v>
      </c>
      <c r="L991">
        <f t="shared" si="79"/>
        <v>4.1264287300017924E-2</v>
      </c>
      <c r="N991">
        <f t="shared" si="76"/>
        <v>1.5500000000000002E-2</v>
      </c>
      <c r="P991">
        <f t="shared" si="77"/>
        <v>4.9599999999999998E-2</v>
      </c>
      <c r="Q991">
        <f t="shared" si="78"/>
        <v>-2.52E-2</v>
      </c>
    </row>
    <row r="992" spans="1:17">
      <c r="A992">
        <v>200906</v>
      </c>
      <c r="B992">
        <v>4.4000000000000003E-3</v>
      </c>
      <c r="C992">
        <v>2.6600000000000002E-2</v>
      </c>
      <c r="D992">
        <v>3.0800000000000001E-2</v>
      </c>
      <c r="K992">
        <f t="shared" si="75"/>
        <v>1.3198807849981082E-2</v>
      </c>
      <c r="L992">
        <f t="shared" si="79"/>
        <v>1.0698807849981081E-2</v>
      </c>
      <c r="N992">
        <f t="shared" si="76"/>
        <v>2.8300000000000002E-2</v>
      </c>
      <c r="P992">
        <f t="shared" si="77"/>
        <v>1.9000000000000002E-3</v>
      </c>
      <c r="Q992">
        <f t="shared" si="78"/>
        <v>2.6600000000000002E-2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5.6600000000000004E-2</v>
      </c>
      <c r="K993">
        <f t="shared" si="75"/>
        <v>8.3485628074986704E-2</v>
      </c>
      <c r="L993">
        <f t="shared" si="79"/>
        <v>8.0985628074986701E-2</v>
      </c>
      <c r="N993">
        <f t="shared" si="76"/>
        <v>5.4100000000000002E-2</v>
      </c>
      <c r="P993">
        <f t="shared" si="77"/>
        <v>7.4800000000000005E-2</v>
      </c>
      <c r="Q993">
        <f t="shared" si="78"/>
        <v>1.8700000000000001E-2</v>
      </c>
    </row>
    <row r="994" spans="1:17">
      <c r="A994">
        <v>200908</v>
      </c>
      <c r="B994">
        <v>3.3400000000000006E-2</v>
      </c>
      <c r="C994">
        <v>-1.0800000000000001E-2</v>
      </c>
      <c r="D994">
        <v>2E-3</v>
      </c>
      <c r="K994">
        <f t="shared" si="75"/>
        <v>2.9827551700007688E-2</v>
      </c>
      <c r="L994">
        <f t="shared" si="79"/>
        <v>2.7327551700007689E-2</v>
      </c>
      <c r="N994">
        <f t="shared" si="76"/>
        <v>-5.0000000000000001E-4</v>
      </c>
      <c r="P994">
        <f t="shared" si="77"/>
        <v>3.0900000000000007E-2</v>
      </c>
      <c r="Q994">
        <f t="shared" si="78"/>
        <v>-1.0800000000000001E-2</v>
      </c>
    </row>
    <row r="995" spans="1:17">
      <c r="A995">
        <v>200909</v>
      </c>
      <c r="B995">
        <v>4.0900000000000006E-2</v>
      </c>
      <c r="C995">
        <v>2.4300000000000002E-2</v>
      </c>
      <c r="D995">
        <v>5.0199999999999995E-2</v>
      </c>
      <c r="K995">
        <f t="shared" si="75"/>
        <v>4.8938008674982728E-2</v>
      </c>
      <c r="L995">
        <f t="shared" si="79"/>
        <v>4.6438008674982725E-2</v>
      </c>
      <c r="N995">
        <f t="shared" si="76"/>
        <v>4.7699999999999992E-2</v>
      </c>
      <c r="P995">
        <f t="shared" si="77"/>
        <v>3.8400000000000004E-2</v>
      </c>
      <c r="Q995">
        <f t="shared" si="78"/>
        <v>2.4300000000000002E-2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9"/>
        <v>-4.2755949649969135E-2</v>
      </c>
      <c r="N996">
        <f t="shared" si="76"/>
        <v>-4.3300000000000005E-2</v>
      </c>
      <c r="P996">
        <f t="shared" si="77"/>
        <v>-2.8399999999999998E-2</v>
      </c>
      <c r="Q996">
        <f t="shared" si="78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9"/>
        <v>4.5194304225016996E-2</v>
      </c>
      <c r="N997">
        <f t="shared" si="76"/>
        <v>6.1899999999999997E-2</v>
      </c>
      <c r="P997">
        <f t="shared" si="77"/>
        <v>5.3099999999999994E-2</v>
      </c>
      <c r="Q997">
        <f t="shared" si="78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9"/>
        <v>4.5079247899957042E-2</v>
      </c>
      <c r="N998">
        <f t="shared" si="76"/>
        <v>5.1999999999999998E-2</v>
      </c>
      <c r="P998">
        <f t="shared" si="77"/>
        <v>2.5100000000000001E-2</v>
      </c>
      <c r="Q998">
        <f t="shared" si="78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9"/>
        <v>-3.4776871000002846E-2</v>
      </c>
      <c r="N999">
        <f t="shared" si="76"/>
        <v>-6.7300000000000013E-2</v>
      </c>
      <c r="P999">
        <f t="shared" si="77"/>
        <v>-3.61E-2</v>
      </c>
      <c r="Q999">
        <f t="shared" si="78"/>
        <v>4.0000000000000001E-3</v>
      </c>
    </row>
    <row r="1000" spans="1:17">
      <c r="A1000">
        <v>201002</v>
      </c>
      <c r="B1000">
        <v>3.4000000000000002E-2</v>
      </c>
      <c r="C1000">
        <v>1.1899999999999999E-2</v>
      </c>
      <c r="D1000">
        <v>8.4600000000000009E-2</v>
      </c>
      <c r="K1000">
        <f t="shared" si="75"/>
        <v>3.7936308774991538E-2</v>
      </c>
      <c r="L1000">
        <f t="shared" si="79"/>
        <v>3.5436308774991536E-2</v>
      </c>
      <c r="N1000">
        <f t="shared" si="76"/>
        <v>8.2100000000000006E-2</v>
      </c>
      <c r="P1000">
        <f t="shared" si="77"/>
        <v>3.15E-2</v>
      </c>
      <c r="Q1000">
        <f t="shared" si="78"/>
        <v>1.1899999999999999E-2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9"/>
        <v>6.559557729998948E-2</v>
      </c>
      <c r="N1001">
        <f t="shared" si="76"/>
        <v>8.3800000000000013E-2</v>
      </c>
      <c r="P1001">
        <f t="shared" si="77"/>
        <v>6.0700000000000004E-2</v>
      </c>
      <c r="Q1001">
        <f t="shared" si="78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9"/>
        <v>3.3709095574965361E-2</v>
      </c>
      <c r="N1002">
        <f t="shared" si="76"/>
        <v>6.7999999999999991E-2</v>
      </c>
      <c r="P1002">
        <f t="shared" si="77"/>
        <v>1.7600000000000001E-2</v>
      </c>
      <c r="Q1002">
        <f t="shared" si="78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9"/>
        <v>-8.1002295975000638E-2</v>
      </c>
      <c r="N1003">
        <f t="shared" si="76"/>
        <v>-0.10150000000000001</v>
      </c>
      <c r="P1003">
        <f t="shared" si="77"/>
        <v>-8.1299999999999997E-2</v>
      </c>
      <c r="Q1003">
        <f t="shared" si="78"/>
        <v>8.9999999999999998E-4</v>
      </c>
    </row>
    <row r="1004" spans="1:17">
      <c r="A1004">
        <v>201006</v>
      </c>
      <c r="B1004">
        <v>-5.5600000000000004E-2</v>
      </c>
      <c r="C1004">
        <v>-1.8100000000000002E-2</v>
      </c>
      <c r="D1004">
        <v>-0.1099</v>
      </c>
      <c r="K1004">
        <f t="shared" si="75"/>
        <v>-6.1587158724987129E-2</v>
      </c>
      <c r="L1004">
        <f t="shared" si="79"/>
        <v>-6.4087158724987131E-2</v>
      </c>
      <c r="N1004">
        <f t="shared" si="76"/>
        <v>-0.1124</v>
      </c>
      <c r="P1004">
        <f t="shared" si="77"/>
        <v>-5.8100000000000006E-2</v>
      </c>
      <c r="Q1004">
        <f t="shared" si="78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9"/>
        <v>6.7693877399998298E-2</v>
      </c>
      <c r="N1005">
        <f t="shared" si="76"/>
        <v>9.9000000000000005E-2</v>
      </c>
      <c r="P1005">
        <f t="shared" si="77"/>
        <v>6.6900000000000001E-2</v>
      </c>
      <c r="Q1005">
        <f t="shared" si="78"/>
        <v>2.3999999999999998E-3</v>
      </c>
    </row>
    <row r="1006" spans="1:17">
      <c r="A1006">
        <v>201008</v>
      </c>
      <c r="B1006">
        <v>-4.7599999999999996E-2</v>
      </c>
      <c r="C1006">
        <v>-2.9500000000000002E-2</v>
      </c>
      <c r="D1006">
        <v>-5.33E-2</v>
      </c>
      <c r="K1006">
        <f t="shared" si="75"/>
        <v>-5.7358076374979014E-2</v>
      </c>
      <c r="L1006">
        <f t="shared" si="79"/>
        <v>-5.9858076374979016E-2</v>
      </c>
      <c r="N1006">
        <f t="shared" si="76"/>
        <v>-5.5800000000000002E-2</v>
      </c>
      <c r="P1006">
        <f t="shared" si="77"/>
        <v>-5.0099999999999999E-2</v>
      </c>
      <c r="Q1006">
        <f t="shared" si="78"/>
        <v>-2.9500000000000002E-2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9"/>
        <v>0.10609897709997183</v>
      </c>
      <c r="N1007">
        <f t="shared" si="76"/>
        <v>0.1351</v>
      </c>
      <c r="P1007">
        <f t="shared" si="77"/>
        <v>9.2999999999999999E-2</v>
      </c>
      <c r="Q1007">
        <f t="shared" si="78"/>
        <v>3.9600000000000003E-2</v>
      </c>
    </row>
    <row r="1008" spans="1:17">
      <c r="A1008">
        <v>201010</v>
      </c>
      <c r="B1008">
        <v>3.8900000000000004E-2</v>
      </c>
      <c r="C1008">
        <v>1.21E-2</v>
      </c>
      <c r="D1008">
        <v>5.5099999999999996E-2</v>
      </c>
      <c r="K1008">
        <f t="shared" si="75"/>
        <v>4.2902465224991401E-2</v>
      </c>
      <c r="L1008">
        <f t="shared" si="79"/>
        <v>4.0402465224991399E-2</v>
      </c>
      <c r="N1008">
        <f t="shared" si="76"/>
        <v>5.2599999999999994E-2</v>
      </c>
      <c r="P1008">
        <f t="shared" si="77"/>
        <v>3.6400000000000002E-2</v>
      </c>
      <c r="Q1008">
        <f t="shared" si="78"/>
        <v>1.21E-2</v>
      </c>
    </row>
    <row r="1009" spans="1:17">
      <c r="A1009">
        <v>201011</v>
      </c>
      <c r="B1009">
        <v>6.1000000000000004E-3</v>
      </c>
      <c r="C1009">
        <v>3.7700000000000004E-2</v>
      </c>
      <c r="D1009">
        <v>6.2199999999999998E-2</v>
      </c>
      <c r="K1009">
        <f t="shared" si="75"/>
        <v>1.8570490824973189E-2</v>
      </c>
      <c r="L1009">
        <f t="shared" si="79"/>
        <v>1.607049082497319E-2</v>
      </c>
      <c r="N1009">
        <f t="shared" si="76"/>
        <v>5.9699999999999996E-2</v>
      </c>
      <c r="P1009">
        <f t="shared" si="77"/>
        <v>3.6000000000000003E-3</v>
      </c>
      <c r="Q1009">
        <f t="shared" si="78"/>
        <v>3.7700000000000004E-2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4.3899999999999995E-2</v>
      </c>
      <c r="K1010">
        <f t="shared" si="75"/>
        <v>7.0516241074995253E-2</v>
      </c>
      <c r="L1010">
        <f t="shared" si="79"/>
        <v>6.8016241074995251E-2</v>
      </c>
      <c r="N1010">
        <f t="shared" si="76"/>
        <v>4.1399999999999992E-2</v>
      </c>
      <c r="P1010">
        <f t="shared" si="77"/>
        <v>6.5800000000000011E-2</v>
      </c>
      <c r="Q1010">
        <f t="shared" si="78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9"/>
        <v>9.4289131000173526E-3</v>
      </c>
      <c r="N1011">
        <f t="shared" si="76"/>
        <v>3.8E-3</v>
      </c>
      <c r="P1011">
        <f t="shared" si="77"/>
        <v>1.7500000000000002E-2</v>
      </c>
      <c r="Q1011">
        <f t="shared" si="78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9"/>
        <v>3.736249907498955E-2</v>
      </c>
      <c r="N1012">
        <f t="shared" si="76"/>
        <v>3.7599999999999995E-2</v>
      </c>
      <c r="P1012">
        <f t="shared" si="77"/>
        <v>3.2500000000000001E-2</v>
      </c>
      <c r="Q1012">
        <f t="shared" si="78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9"/>
        <v>1.0668025599981793E-2</v>
      </c>
      <c r="N1013">
        <f t="shared" si="76"/>
        <v>2.6600000000000002E-2</v>
      </c>
      <c r="P1013">
        <f t="shared" si="77"/>
        <v>2.2000000000000001E-3</v>
      </c>
      <c r="Q1013">
        <f t="shared" si="78"/>
        <v>2.5600000000000001E-2</v>
      </c>
    </row>
    <row r="1014" spans="1:17">
      <c r="A1014">
        <v>201104</v>
      </c>
      <c r="B1014">
        <v>2.8999999999999998E-2</v>
      </c>
      <c r="C1014">
        <v>-3.2000000000000002E-3</v>
      </c>
      <c r="D1014">
        <v>3.2599999999999997E-2</v>
      </c>
      <c r="K1014">
        <f t="shared" si="75"/>
        <v>2.7941496800002272E-2</v>
      </c>
      <c r="L1014">
        <f t="shared" si="79"/>
        <v>2.5441496800002274E-2</v>
      </c>
      <c r="N1014">
        <f t="shared" si="76"/>
        <v>3.0099999999999998E-2</v>
      </c>
      <c r="P1014">
        <f t="shared" si="77"/>
        <v>2.6499999999999999E-2</v>
      </c>
      <c r="Q1014">
        <f t="shared" si="78"/>
        <v>-3.2000000000000002E-3</v>
      </c>
    </row>
    <row r="1015" spans="1:17">
      <c r="A1015">
        <v>201105</v>
      </c>
      <c r="B1015">
        <v>-1.2700000000000001E-2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9"/>
        <v>-1.7350084624995377E-2</v>
      </c>
      <c r="N1015">
        <f t="shared" si="76"/>
        <v>-3.1600000000000003E-2</v>
      </c>
      <c r="P1015">
        <f t="shared" si="77"/>
        <v>-1.5200000000000002E-2</v>
      </c>
      <c r="Q1015">
        <f t="shared" si="78"/>
        <v>-6.5000000000000006E-3</v>
      </c>
    </row>
    <row r="1016" spans="1:17">
      <c r="A1016">
        <v>201106</v>
      </c>
      <c r="B1016">
        <v>-1.7500000000000002E-2</v>
      </c>
      <c r="C1016">
        <v>-1.4000000000000002E-3</v>
      </c>
      <c r="D1016">
        <v>2.0000000000000001E-4</v>
      </c>
      <c r="K1016">
        <f t="shared" si="75"/>
        <v>-1.7963095149999005E-2</v>
      </c>
      <c r="L1016">
        <f t="shared" si="79"/>
        <v>-2.0463095149999003E-2</v>
      </c>
      <c r="N1016">
        <f t="shared" si="76"/>
        <v>-2.3E-3</v>
      </c>
      <c r="P1016">
        <f t="shared" si="77"/>
        <v>-0.02</v>
      </c>
      <c r="Q1016">
        <f t="shared" si="78"/>
        <v>-1.4000000000000002E-3</v>
      </c>
    </row>
    <row r="1017" spans="1:17">
      <c r="A1017">
        <v>201107</v>
      </c>
      <c r="B1017">
        <v>-2.35E-2</v>
      </c>
      <c r="C1017">
        <v>-1.29E-2</v>
      </c>
      <c r="D1017">
        <v>-1.5600000000000001E-2</v>
      </c>
      <c r="K1017">
        <f t="shared" si="75"/>
        <v>-2.7767091024990826E-2</v>
      </c>
      <c r="L1017">
        <f t="shared" si="79"/>
        <v>-3.0267091024990825E-2</v>
      </c>
      <c r="N1017">
        <f t="shared" si="76"/>
        <v>-1.8100000000000002E-2</v>
      </c>
      <c r="P1017">
        <f t="shared" si="77"/>
        <v>-2.5999999999999999E-2</v>
      </c>
      <c r="Q1017">
        <f t="shared" si="78"/>
        <v>-1.29E-2</v>
      </c>
    </row>
    <row r="1018" spans="1:17">
      <c r="A1018">
        <v>201108</v>
      </c>
      <c r="B1018">
        <v>-5.9799999999999999E-2</v>
      </c>
      <c r="C1018">
        <v>-3.0699999999999998E-2</v>
      </c>
      <c r="D1018">
        <v>-8.6599999999999996E-2</v>
      </c>
      <c r="K1018">
        <f t="shared" si="75"/>
        <v>-6.9955015074978172E-2</v>
      </c>
      <c r="L1018">
        <f t="shared" si="79"/>
        <v>-7.2455015074978174E-2</v>
      </c>
      <c r="N1018">
        <f t="shared" si="76"/>
        <v>-8.9099999999999999E-2</v>
      </c>
      <c r="P1018">
        <f t="shared" si="77"/>
        <v>-6.2300000000000001E-2</v>
      </c>
      <c r="Q1018">
        <f t="shared" si="78"/>
        <v>-3.0699999999999998E-2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9"/>
        <v>-8.9415048924976315E-2</v>
      </c>
      <c r="N1019">
        <f t="shared" si="76"/>
        <v>-0.1615</v>
      </c>
      <c r="P1019">
        <f t="shared" si="77"/>
        <v>-7.8399999999999997E-2</v>
      </c>
      <c r="Q1019">
        <f t="shared" si="78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9"/>
        <v>0.12191581424997654</v>
      </c>
      <c r="N1020">
        <f t="shared" si="76"/>
        <v>0.14199999999999999</v>
      </c>
      <c r="P1020">
        <f t="shared" si="77"/>
        <v>0.111</v>
      </c>
      <c r="Q1020">
        <f t="shared" si="78"/>
        <v>3.3000000000000002E-2</v>
      </c>
    </row>
    <row r="1021" spans="1:17">
      <c r="A1021">
        <v>201111</v>
      </c>
      <c r="B1021">
        <v>-2.8000000000000004E-3</v>
      </c>
      <c r="C1021">
        <v>-1.7000000000000001E-3</v>
      </c>
      <c r="D1021">
        <v>-1.3899999999999999E-2</v>
      </c>
      <c r="K1021">
        <f t="shared" si="75"/>
        <v>-3.3623298249987913E-3</v>
      </c>
      <c r="L1021">
        <f t="shared" si="79"/>
        <v>-5.862329824998791E-3</v>
      </c>
      <c r="N1021">
        <f t="shared" si="76"/>
        <v>-1.6399999999999998E-2</v>
      </c>
      <c r="P1021">
        <f t="shared" si="77"/>
        <v>-5.3000000000000009E-3</v>
      </c>
      <c r="Q1021">
        <f t="shared" si="78"/>
        <v>-1.7000000000000001E-3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9"/>
        <v>2.915306500004267E-3</v>
      </c>
      <c r="N1022">
        <f t="shared" si="76"/>
        <v>-1.3100000000000001E-2</v>
      </c>
      <c r="P1022">
        <f t="shared" si="77"/>
        <v>4.8999999999999998E-3</v>
      </c>
      <c r="Q1022">
        <f t="shared" si="78"/>
        <v>-6.0000000000000001E-3</v>
      </c>
    </row>
    <row r="1023" spans="1:17">
      <c r="A1023">
        <v>201201</v>
      </c>
      <c r="B1023">
        <v>5.0499999999999996E-2</v>
      </c>
      <c r="C1023">
        <v>2.06E-2</v>
      </c>
      <c r="D1023">
        <v>2.63E-2</v>
      </c>
      <c r="K1023">
        <f t="shared" si="75"/>
        <v>5.7314114349985346E-2</v>
      </c>
      <c r="L1023">
        <f t="shared" si="79"/>
        <v>5.4814114349985343E-2</v>
      </c>
      <c r="N1023">
        <f t="shared" si="76"/>
        <v>2.3800000000000002E-2</v>
      </c>
      <c r="P1023">
        <f t="shared" si="77"/>
        <v>4.7999999999999994E-2</v>
      </c>
      <c r="Q1023">
        <f t="shared" si="78"/>
        <v>2.06E-2</v>
      </c>
    </row>
    <row r="1024" spans="1:17">
      <c r="A1024">
        <v>201202</v>
      </c>
      <c r="B1024">
        <v>4.4200000000000003E-2</v>
      </c>
      <c r="C1024">
        <v>-1.8600000000000002E-2</v>
      </c>
      <c r="D1024">
        <v>5.8300000000000005E-2</v>
      </c>
      <c r="K1024">
        <f t="shared" si="75"/>
        <v>3.8047450150013234E-2</v>
      </c>
      <c r="L1024">
        <f t="shared" si="79"/>
        <v>3.5547450150013232E-2</v>
      </c>
      <c r="N1024">
        <f t="shared" si="76"/>
        <v>5.5800000000000002E-2</v>
      </c>
      <c r="P1024">
        <f t="shared" si="77"/>
        <v>4.1700000000000001E-2</v>
      </c>
      <c r="Q1024">
        <f t="shared" si="78"/>
        <v>-1.8600000000000002E-2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9"/>
        <v>2.6416837150004695E-2</v>
      </c>
      <c r="N1025">
        <f t="shared" si="76"/>
        <v>4.82E-2</v>
      </c>
      <c r="P1025">
        <f t="shared" si="77"/>
        <v>2.86E-2</v>
      </c>
      <c r="Q1025">
        <f t="shared" si="78"/>
        <v>-6.6000000000000008E-3</v>
      </c>
    </row>
    <row r="1026" spans="1:17">
      <c r="A1026">
        <v>201204</v>
      </c>
      <c r="B1026">
        <v>-8.5000000000000006E-3</v>
      </c>
      <c r="C1026">
        <v>-4.0999999999999995E-3</v>
      </c>
      <c r="D1026">
        <v>3.7000000000000002E-3</v>
      </c>
      <c r="K1026">
        <f t="shared" si="75"/>
        <v>-9.856207224997084E-3</v>
      </c>
      <c r="L1026">
        <f t="shared" si="79"/>
        <v>-1.2356207224997084E-2</v>
      </c>
      <c r="N1026">
        <f t="shared" si="76"/>
        <v>1.2000000000000001E-3</v>
      </c>
      <c r="P1026">
        <f t="shared" si="77"/>
        <v>-1.1000000000000001E-2</v>
      </c>
      <c r="Q1026">
        <f t="shared" si="78"/>
        <v>-4.0999999999999995E-3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si="79"/>
        <v>-6.4002295975000636E-2</v>
      </c>
      <c r="N1027">
        <f t="shared" ref="N1027:N1090" si="81">D1027-$I$7</f>
        <v>-5.0900000000000001E-2</v>
      </c>
      <c r="P1027">
        <f t="shared" ref="P1027:P1091" si="82">B1027-0.0025</f>
        <v>-6.4299999999999996E-2</v>
      </c>
      <c r="Q1027">
        <f t="shared" ref="Q1027:Q1091" si="83">C1027</f>
        <v>8.9999999999999998E-4</v>
      </c>
    </row>
    <row r="1028" spans="1:17">
      <c r="A1028">
        <v>201206</v>
      </c>
      <c r="B1028">
        <v>3.8900000000000004E-2</v>
      </c>
      <c r="C1028">
        <v>6.4000000000000003E-3</v>
      </c>
      <c r="D1028">
        <v>1.9800000000000002E-2</v>
      </c>
      <c r="K1028">
        <f t="shared" si="80"/>
        <v>4.1017006399995455E-2</v>
      </c>
      <c r="L1028">
        <f t="shared" ref="L1028:L1091" si="84">K1028-$I$7</f>
        <v>3.8517006399995453E-2</v>
      </c>
      <c r="N1028">
        <f t="shared" si="81"/>
        <v>1.7300000000000003E-2</v>
      </c>
      <c r="P1028">
        <f t="shared" si="82"/>
        <v>3.6400000000000002E-2</v>
      </c>
      <c r="Q1028">
        <f t="shared" si="83"/>
        <v>6.4000000000000003E-3</v>
      </c>
    </row>
    <row r="1029" spans="1:17">
      <c r="A1029">
        <v>201207</v>
      </c>
      <c r="B1029">
        <v>7.9000000000000008E-3</v>
      </c>
      <c r="C1029">
        <v>-2.7200000000000002E-2</v>
      </c>
      <c r="D1029">
        <v>2.53E-2</v>
      </c>
      <c r="K1029">
        <f t="shared" si="80"/>
        <v>-1.0972771999806542E-3</v>
      </c>
      <c r="L1029">
        <f t="shared" si="84"/>
        <v>-3.5972771999806543E-3</v>
      </c>
      <c r="N1029">
        <f t="shared" si="81"/>
        <v>2.2800000000000001E-2</v>
      </c>
      <c r="P1029">
        <f t="shared" si="82"/>
        <v>5.4000000000000003E-3</v>
      </c>
      <c r="Q1029">
        <f t="shared" si="83"/>
        <v>-2.7200000000000002E-2</v>
      </c>
    </row>
    <row r="1030" spans="1:17">
      <c r="A1030">
        <v>201208</v>
      </c>
      <c r="B1030">
        <v>2.5599999999999998E-2</v>
      </c>
      <c r="C1030">
        <v>4.7999999999999996E-3</v>
      </c>
      <c r="D1030">
        <v>3.9199999999999999E-2</v>
      </c>
      <c r="K1030">
        <f t="shared" si="80"/>
        <v>2.7187754799996584E-2</v>
      </c>
      <c r="L1030">
        <f t="shared" si="84"/>
        <v>2.4687754799996586E-2</v>
      </c>
      <c r="N1030">
        <f t="shared" si="81"/>
        <v>3.6699999999999997E-2</v>
      </c>
      <c r="P1030">
        <f t="shared" si="82"/>
        <v>2.3099999999999999E-2</v>
      </c>
      <c r="Q1030">
        <f t="shared" si="83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4"/>
        <v>2.6686224149996163E-2</v>
      </c>
      <c r="N1031">
        <f t="shared" si="81"/>
        <v>1.9700000000000002E-2</v>
      </c>
      <c r="P1031">
        <f t="shared" si="82"/>
        <v>2.4900000000000002E-2</v>
      </c>
      <c r="Q1031">
        <f t="shared" si="83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4"/>
        <v>-2.3870152324991678E-2</v>
      </c>
      <c r="N1032">
        <f t="shared" si="81"/>
        <v>-6.25E-2</v>
      </c>
      <c r="P1032">
        <f t="shared" si="82"/>
        <v>-0.02</v>
      </c>
      <c r="Q1032">
        <f t="shared" si="83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4"/>
        <v>7.4177717249956625E-3</v>
      </c>
      <c r="N1033">
        <f t="shared" si="81"/>
        <v>1.41E-2</v>
      </c>
      <c r="P1033">
        <f t="shared" si="82"/>
        <v>5.4000000000000003E-3</v>
      </c>
      <c r="Q1033">
        <f t="shared" si="83"/>
        <v>6.1000000000000004E-3</v>
      </c>
    </row>
    <row r="1034" spans="1:17">
      <c r="A1034">
        <v>201212</v>
      </c>
      <c r="B1034">
        <v>1.1899999999999999E-2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4"/>
        <v>1.4427890199989189E-2</v>
      </c>
      <c r="N1034">
        <f t="shared" si="81"/>
        <v>1.72E-2</v>
      </c>
      <c r="P1034">
        <f t="shared" si="82"/>
        <v>9.3999999999999986E-3</v>
      </c>
      <c r="Q1034">
        <f t="shared" si="83"/>
        <v>1.52E-2</v>
      </c>
    </row>
    <row r="1035" spans="1:17">
      <c r="A1035">
        <v>201301</v>
      </c>
      <c r="B1035">
        <v>5.5700000000000006E-2</v>
      </c>
      <c r="C1035">
        <v>3.0999999999999999E-3</v>
      </c>
      <c r="D1035">
        <v>5.9000000000000004E-2</v>
      </c>
      <c r="K1035">
        <f t="shared" si="80"/>
        <v>5.6725424974997801E-2</v>
      </c>
      <c r="L1035">
        <f t="shared" si="84"/>
        <v>5.4225424974997799E-2</v>
      </c>
      <c r="N1035">
        <f t="shared" si="81"/>
        <v>5.6500000000000002E-2</v>
      </c>
      <c r="P1035">
        <f t="shared" si="82"/>
        <v>5.3200000000000004E-2</v>
      </c>
      <c r="Q1035">
        <f t="shared" si="83"/>
        <v>3.0999999999999999E-3</v>
      </c>
    </row>
    <row r="1036" spans="1:17">
      <c r="A1036">
        <v>201302</v>
      </c>
      <c r="B1036">
        <v>1.29E-2</v>
      </c>
      <c r="C1036">
        <v>-3.3000000000000004E-3</v>
      </c>
      <c r="D1036">
        <v>1.8600000000000002E-2</v>
      </c>
      <c r="K1036">
        <f t="shared" si="80"/>
        <v>1.1808418575002347E-2</v>
      </c>
      <c r="L1036">
        <f t="shared" si="84"/>
        <v>9.3084185750023467E-3</v>
      </c>
      <c r="N1036">
        <f t="shared" si="81"/>
        <v>1.6100000000000003E-2</v>
      </c>
      <c r="P1036">
        <f t="shared" si="82"/>
        <v>1.04E-2</v>
      </c>
      <c r="Q1036">
        <f t="shared" si="83"/>
        <v>-3.3000000000000004E-3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5.4400000000000004E-2</v>
      </c>
      <c r="K1037">
        <f t="shared" si="80"/>
        <v>4.30454926749941E-2</v>
      </c>
      <c r="L1037">
        <f t="shared" si="84"/>
        <v>4.0545492674994098E-2</v>
      </c>
      <c r="N1037">
        <f t="shared" si="81"/>
        <v>5.1900000000000002E-2</v>
      </c>
      <c r="P1037">
        <f t="shared" si="82"/>
        <v>3.78E-2</v>
      </c>
      <c r="Q1037">
        <f t="shared" si="83"/>
        <v>8.3000000000000001E-3</v>
      </c>
    </row>
    <row r="1038" spans="1:17">
      <c r="A1038">
        <v>201304</v>
      </c>
      <c r="B1038">
        <v>1.5500000000000002E-2</v>
      </c>
      <c r="C1038">
        <v>-2.3599999999999999E-2</v>
      </c>
      <c r="D1038">
        <v>2.7000000000000001E-3</v>
      </c>
      <c r="K1038">
        <f t="shared" si="80"/>
        <v>7.6935389000167866E-3</v>
      </c>
      <c r="L1038">
        <f t="shared" si="84"/>
        <v>5.1935389000167861E-3</v>
      </c>
      <c r="N1038">
        <f t="shared" si="81"/>
        <v>2.0000000000000009E-4</v>
      </c>
      <c r="P1038">
        <f t="shared" si="82"/>
        <v>1.3000000000000001E-2</v>
      </c>
      <c r="Q1038">
        <f t="shared" si="83"/>
        <v>-2.3599999999999999E-2</v>
      </c>
    </row>
    <row r="1039" spans="1:17">
      <c r="A1039">
        <v>201305</v>
      </c>
      <c r="B1039">
        <v>2.7999999999999997E-2</v>
      </c>
      <c r="C1039">
        <v>1.72E-2</v>
      </c>
      <c r="D1039">
        <v>4.6699999999999998E-2</v>
      </c>
      <c r="K1039">
        <f t="shared" si="80"/>
        <v>3.3689454699987763E-2</v>
      </c>
      <c r="L1039">
        <f t="shared" si="84"/>
        <v>3.1189454699987764E-2</v>
      </c>
      <c r="N1039">
        <f t="shared" si="81"/>
        <v>4.4199999999999996E-2</v>
      </c>
      <c r="P1039">
        <f t="shared" si="82"/>
        <v>2.5499999999999998E-2</v>
      </c>
      <c r="Q1039">
        <f t="shared" si="83"/>
        <v>1.72E-2</v>
      </c>
    </row>
    <row r="1040" spans="1:17">
      <c r="A1040">
        <v>201306</v>
      </c>
      <c r="B1040">
        <v>-1.2E-2</v>
      </c>
      <c r="C1040">
        <v>1.3200000000000002E-2</v>
      </c>
      <c r="D1040">
        <v>-4.2000000000000003E-2</v>
      </c>
      <c r="K1040">
        <f t="shared" si="80"/>
        <v>-7.633674300009388E-3</v>
      </c>
      <c r="L1040">
        <f t="shared" si="84"/>
        <v>-1.0133674300009388E-2</v>
      </c>
      <c r="N1040">
        <f t="shared" si="81"/>
        <v>-4.4500000000000005E-2</v>
      </c>
      <c r="P1040">
        <f t="shared" si="82"/>
        <v>-1.4500000000000001E-2</v>
      </c>
      <c r="Q1040">
        <f t="shared" si="83"/>
        <v>1.3200000000000002E-2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4"/>
        <v>6.0185628074986702E-2</v>
      </c>
      <c r="N1041">
        <f t="shared" si="81"/>
        <v>9.8000000000000004E-2</v>
      </c>
      <c r="P1041">
        <f t="shared" si="82"/>
        <v>5.3999999999999999E-2</v>
      </c>
      <c r="Q1041">
        <f t="shared" si="83"/>
        <v>1.8700000000000001E-2</v>
      </c>
    </row>
    <row r="1042" spans="1:17">
      <c r="A1042">
        <v>201308</v>
      </c>
      <c r="B1042">
        <v>-2.7099999999999999E-2</v>
      </c>
      <c r="C1042">
        <v>2.6000000000000003E-3</v>
      </c>
      <c r="D1042">
        <v>-2.81E-2</v>
      </c>
      <c r="K1042">
        <f t="shared" si="80"/>
        <v>-2.6239966150001848E-2</v>
      </c>
      <c r="L1042">
        <f t="shared" si="84"/>
        <v>-2.8739966150001846E-2</v>
      </c>
      <c r="N1042">
        <f t="shared" si="81"/>
        <v>-3.0599999999999999E-2</v>
      </c>
      <c r="P1042">
        <f t="shared" si="82"/>
        <v>-2.9599999999999998E-2</v>
      </c>
      <c r="Q1042">
        <f t="shared" si="83"/>
        <v>2.6000000000000003E-3</v>
      </c>
    </row>
    <row r="1043" spans="1:17">
      <c r="A1043">
        <v>201309</v>
      </c>
      <c r="B1043">
        <v>3.7700000000000004E-2</v>
      </c>
      <c r="C1043">
        <v>2.8999999999999998E-2</v>
      </c>
      <c r="D1043">
        <v>7.4300000000000005E-2</v>
      </c>
      <c r="K1043">
        <f t="shared" si="80"/>
        <v>4.7292685249979378E-2</v>
      </c>
      <c r="L1043">
        <f t="shared" si="84"/>
        <v>4.4792685249979376E-2</v>
      </c>
      <c r="N1043">
        <f t="shared" si="81"/>
        <v>7.1800000000000003E-2</v>
      </c>
      <c r="P1043">
        <f t="shared" si="82"/>
        <v>3.5200000000000002E-2</v>
      </c>
      <c r="Q1043">
        <f t="shared" si="83"/>
        <v>2.8999999999999998E-2</v>
      </c>
    </row>
    <row r="1044" spans="1:17">
      <c r="A1044">
        <v>201310</v>
      </c>
      <c r="B1044">
        <v>4.1799999999999997E-2</v>
      </c>
      <c r="C1044">
        <v>-1.5600000000000001E-2</v>
      </c>
      <c r="D1044">
        <v>2.3199999999999998E-2</v>
      </c>
      <c r="K1044">
        <f t="shared" si="80"/>
        <v>3.6639796900011089E-2</v>
      </c>
      <c r="L1044">
        <f t="shared" si="84"/>
        <v>3.4139796900011087E-2</v>
      </c>
      <c r="N1044">
        <f t="shared" si="81"/>
        <v>2.07E-2</v>
      </c>
      <c r="P1044">
        <f t="shared" si="82"/>
        <v>3.9299999999999995E-2</v>
      </c>
      <c r="Q1044">
        <f t="shared" si="83"/>
        <v>-1.5600000000000001E-2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4"/>
        <v>3.3067091024990822E-2</v>
      </c>
      <c r="N1045">
        <f t="shared" si="81"/>
        <v>3.1399999999999997E-2</v>
      </c>
      <c r="P1045">
        <f t="shared" si="82"/>
        <v>2.8800000000000003E-2</v>
      </c>
      <c r="Q1045">
        <f t="shared" si="83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4"/>
        <v>2.4078401650003273E-2</v>
      </c>
      <c r="N1046">
        <f t="shared" si="81"/>
        <v>2.3300000000000001E-2</v>
      </c>
      <c r="P1046">
        <f t="shared" si="82"/>
        <v>2.5600000000000001E-2</v>
      </c>
      <c r="Q1046">
        <f t="shared" si="83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1.1000000000000001E-2</v>
      </c>
      <c r="K1047">
        <f t="shared" si="80"/>
        <v>-3.0156803300006543E-2</v>
      </c>
      <c r="L1047">
        <f t="shared" si="84"/>
        <v>-3.2656803300006546E-2</v>
      </c>
      <c r="N1047">
        <f t="shared" si="81"/>
        <v>8.5000000000000006E-3</v>
      </c>
      <c r="P1047">
        <f t="shared" si="82"/>
        <v>-3.5700000000000003E-2</v>
      </c>
      <c r="Q1047">
        <f t="shared" si="83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4"/>
        <v>4.522389432499737E-2</v>
      </c>
      <c r="N1048">
        <f t="shared" si="81"/>
        <v>6.2799999999999995E-2</v>
      </c>
      <c r="P1048">
        <f t="shared" si="82"/>
        <v>4.4000000000000004E-2</v>
      </c>
      <c r="Q1048">
        <f t="shared" si="83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4"/>
        <v>-4.3856280749867017E-3</v>
      </c>
      <c r="N1049">
        <f t="shared" si="81"/>
        <v>-6.3E-2</v>
      </c>
      <c r="P1049">
        <f t="shared" si="82"/>
        <v>1.8E-3</v>
      </c>
      <c r="Q1049">
        <f t="shared" si="83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4"/>
        <v>-1.8292854499970129E-2</v>
      </c>
      <c r="N1050">
        <f t="shared" si="81"/>
        <v>-3.6299999999999999E-2</v>
      </c>
      <c r="P1050">
        <f t="shared" si="82"/>
        <v>-4.4000000000000003E-3</v>
      </c>
      <c r="Q1050">
        <f t="shared" si="83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4"/>
        <v>1.1848215475013442E-2</v>
      </c>
      <c r="N1051">
        <f t="shared" si="81"/>
        <v>3.6600000000000001E-2</v>
      </c>
      <c r="P1051">
        <f t="shared" si="82"/>
        <v>1.8100000000000002E-2</v>
      </c>
      <c r="Q1051">
        <f t="shared" si="83"/>
        <v>-1.89E-2</v>
      </c>
    </row>
    <row r="1052" spans="1:17">
      <c r="A1052">
        <v>201406</v>
      </c>
      <c r="B1052">
        <v>2.6099999999999998E-2</v>
      </c>
      <c r="C1052">
        <v>3.09E-2</v>
      </c>
      <c r="D1052">
        <v>5.6399999999999999E-2</v>
      </c>
      <c r="K1052">
        <f t="shared" si="80"/>
        <v>3.6321171524978019E-2</v>
      </c>
      <c r="L1052">
        <f t="shared" si="84"/>
        <v>3.3821171524978016E-2</v>
      </c>
      <c r="N1052">
        <f t="shared" si="81"/>
        <v>5.3899999999999997E-2</v>
      </c>
      <c r="P1052">
        <f t="shared" si="82"/>
        <v>2.3599999999999999E-2</v>
      </c>
      <c r="Q1052">
        <f t="shared" si="83"/>
        <v>3.09E-2</v>
      </c>
    </row>
    <row r="1053" spans="1:17">
      <c r="A1053">
        <v>201407</v>
      </c>
      <c r="B1053">
        <v>-2.0400000000000001E-2</v>
      </c>
      <c r="C1053">
        <v>-4.2800000000000005E-2</v>
      </c>
      <c r="D1053">
        <v>-4.8999999999999998E-3</v>
      </c>
      <c r="K1053">
        <f t="shared" si="80"/>
        <v>-3.4557480299969565E-2</v>
      </c>
      <c r="L1053">
        <f t="shared" si="84"/>
        <v>-3.7057480299969567E-2</v>
      </c>
      <c r="N1053">
        <f t="shared" si="81"/>
        <v>-7.4000000000000003E-3</v>
      </c>
      <c r="P1053">
        <f t="shared" si="82"/>
        <v>-2.29E-2</v>
      </c>
      <c r="Q1053">
        <f t="shared" si="83"/>
        <v>-4.2800000000000005E-2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4"/>
        <v>4.1156972549997298E-2</v>
      </c>
      <c r="N1054">
        <f t="shared" si="81"/>
        <v>5.1799999999999999E-2</v>
      </c>
      <c r="P1054">
        <f t="shared" si="82"/>
        <v>3.9899999999999998E-2</v>
      </c>
      <c r="Q1054">
        <f t="shared" si="83"/>
        <v>3.8E-3</v>
      </c>
    </row>
    <row r="1055" spans="1:17">
      <c r="A1055">
        <v>201409</v>
      </c>
      <c r="B1055">
        <v>-1.9699999999999999E-2</v>
      </c>
      <c r="C1055">
        <v>-3.7200000000000004E-2</v>
      </c>
      <c r="D1055">
        <v>-2.4700000000000003E-2</v>
      </c>
      <c r="K1055">
        <f t="shared" si="80"/>
        <v>-3.2005099699973547E-2</v>
      </c>
      <c r="L1055">
        <f t="shared" si="84"/>
        <v>-3.4505099699973549E-2</v>
      </c>
      <c r="N1055">
        <f t="shared" si="81"/>
        <v>-2.7200000000000002E-2</v>
      </c>
      <c r="P1055">
        <f t="shared" si="82"/>
        <v>-2.2199999999999998E-2</v>
      </c>
      <c r="Q1055">
        <f t="shared" si="83"/>
        <v>-3.7200000000000004E-2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4"/>
        <v>3.6659010949969983E-2</v>
      </c>
      <c r="N1056">
        <f t="shared" si="81"/>
        <v>2.0400000000000001E-2</v>
      </c>
      <c r="P1056">
        <f t="shared" si="82"/>
        <v>2.2700000000000001E-2</v>
      </c>
      <c r="Q1056">
        <f t="shared" si="83"/>
        <v>4.2200000000000001E-2</v>
      </c>
    </row>
    <row r="1057" spans="1:17">
      <c r="A1057">
        <v>201411</v>
      </c>
      <c r="B1057">
        <v>2.5499999999999998E-2</v>
      </c>
      <c r="C1057">
        <v>-2.0499999999999997E-2</v>
      </c>
      <c r="D1057">
        <v>3.9600000000000003E-2</v>
      </c>
      <c r="K1057">
        <f t="shared" si="80"/>
        <v>1.871896387501458E-2</v>
      </c>
      <c r="L1057">
        <f t="shared" si="84"/>
        <v>1.6218963875014581E-2</v>
      </c>
      <c r="N1057">
        <f t="shared" si="81"/>
        <v>3.7100000000000001E-2</v>
      </c>
      <c r="P1057">
        <f t="shared" si="82"/>
        <v>2.3E-2</v>
      </c>
      <c r="Q1057">
        <f t="shared" si="83"/>
        <v>-2.0499999999999997E-2</v>
      </c>
    </row>
    <row r="1058" spans="1:17">
      <c r="A1058">
        <v>201412</v>
      </c>
      <c r="B1058">
        <v>-5.9999999999999995E-4</v>
      </c>
      <c r="C1058">
        <v>2.4900000000000002E-2</v>
      </c>
      <c r="D1058">
        <v>-2.2499999999999999E-2</v>
      </c>
      <c r="K1058">
        <f t="shared" si="80"/>
        <v>7.6364780249822909E-3</v>
      </c>
      <c r="L1058">
        <f t="shared" si="84"/>
        <v>5.1364780249822904E-3</v>
      </c>
      <c r="N1058">
        <f t="shared" si="81"/>
        <v>-2.4999999999999998E-2</v>
      </c>
      <c r="P1058">
        <f t="shared" si="82"/>
        <v>-3.0999999999999999E-3</v>
      </c>
      <c r="Q1058">
        <f t="shared" si="83"/>
        <v>2.4900000000000002E-2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4"/>
        <v>-3.5386224149996162E-2</v>
      </c>
      <c r="N1059">
        <f t="shared" si="81"/>
        <v>4.2000000000000006E-3</v>
      </c>
      <c r="P1059">
        <f t="shared" si="82"/>
        <v>-3.3599999999999998E-2</v>
      </c>
      <c r="Q1059">
        <f t="shared" si="83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6.1900000000000004E-2</v>
      </c>
      <c r="K1060">
        <f t="shared" si="80"/>
        <v>6.3284693499995728E-2</v>
      </c>
      <c r="L1060">
        <f t="shared" si="84"/>
        <v>6.0784693499995726E-2</v>
      </c>
      <c r="N1060">
        <f t="shared" si="81"/>
        <v>5.9400000000000001E-2</v>
      </c>
      <c r="P1060">
        <f t="shared" si="82"/>
        <v>5.8799999999999998E-2</v>
      </c>
      <c r="Q1060">
        <f t="shared" si="83"/>
        <v>6.0000000000000001E-3</v>
      </c>
    </row>
    <row r="1061" spans="1:17">
      <c r="A1061">
        <v>201503</v>
      </c>
      <c r="B1061">
        <v>-1.1200000000000002E-2</v>
      </c>
      <c r="C1061">
        <v>3.0699999999999998E-2</v>
      </c>
      <c r="D1061">
        <v>-9.9000000000000008E-3</v>
      </c>
      <c r="K1061">
        <f t="shared" si="80"/>
        <v>-1.0449849250218357E-3</v>
      </c>
      <c r="L1061">
        <f t="shared" si="84"/>
        <v>-3.5449849250218358E-3</v>
      </c>
      <c r="N1061">
        <f t="shared" si="81"/>
        <v>-1.2400000000000001E-2</v>
      </c>
      <c r="P1061">
        <f t="shared" si="82"/>
        <v>-1.3700000000000002E-2</v>
      </c>
      <c r="Q1061">
        <f t="shared" si="83"/>
        <v>3.0699999999999998E-2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4"/>
        <v>-6.6557803999783786E-3</v>
      </c>
      <c r="N1062">
        <f t="shared" si="81"/>
        <v>-2.7E-2</v>
      </c>
      <c r="P1062">
        <f t="shared" si="82"/>
        <v>3.3999999999999998E-3</v>
      </c>
      <c r="Q1062">
        <f t="shared" si="83"/>
        <v>-3.04E-2</v>
      </c>
    </row>
    <row r="1063" spans="1:17">
      <c r="A1063">
        <v>201505</v>
      </c>
      <c r="B1063">
        <v>1.3600000000000001E-2</v>
      </c>
      <c r="C1063">
        <v>9.1999999999999998E-3</v>
      </c>
      <c r="D1063">
        <v>4.5999999999999999E-2</v>
      </c>
      <c r="K1063">
        <f t="shared" si="80"/>
        <v>1.6643196699993458E-2</v>
      </c>
      <c r="L1063">
        <f t="shared" si="84"/>
        <v>1.4143196699993458E-2</v>
      </c>
      <c r="N1063">
        <f t="shared" si="81"/>
        <v>4.3499999999999997E-2</v>
      </c>
      <c r="P1063">
        <f t="shared" si="82"/>
        <v>1.11E-2</v>
      </c>
      <c r="Q1063">
        <f t="shared" si="83"/>
        <v>9.1999999999999998E-3</v>
      </c>
    </row>
    <row r="1064" spans="1:17">
      <c r="A1064">
        <v>201506</v>
      </c>
      <c r="B1064">
        <v>-1.5300000000000001E-2</v>
      </c>
      <c r="C1064">
        <v>2.8999999999999998E-2</v>
      </c>
      <c r="D1064">
        <v>-5.4000000000000003E-3</v>
      </c>
      <c r="K1064">
        <f t="shared" si="80"/>
        <v>-5.707314750020627E-3</v>
      </c>
      <c r="L1064">
        <f t="shared" si="84"/>
        <v>-8.2073147500206275E-3</v>
      </c>
      <c r="N1064">
        <f t="shared" si="81"/>
        <v>-7.9000000000000008E-3</v>
      </c>
      <c r="P1064">
        <f t="shared" si="82"/>
        <v>-1.78E-2</v>
      </c>
      <c r="Q1064">
        <f t="shared" si="83"/>
        <v>2.8999999999999998E-2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4"/>
        <v>-9.9285449997013045E-4</v>
      </c>
      <c r="N1065">
        <f t="shared" si="81"/>
        <v>1.6800000000000002E-2</v>
      </c>
      <c r="P1065">
        <f t="shared" si="82"/>
        <v>1.29E-2</v>
      </c>
      <c r="Q1065">
        <f t="shared" si="83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4"/>
        <v>-6.1709183900002566E-2</v>
      </c>
      <c r="N1066">
        <f t="shared" si="81"/>
        <v>-6.6799999999999998E-2</v>
      </c>
      <c r="P1066">
        <f t="shared" si="82"/>
        <v>-6.2899999999999998E-2</v>
      </c>
      <c r="Q1066">
        <f t="shared" si="83"/>
        <v>3.5999999999999999E-3</v>
      </c>
    </row>
    <row r="1067" spans="1:17">
      <c r="A1067">
        <v>201509</v>
      </c>
      <c r="B1067">
        <v>-3.0699999999999998E-2</v>
      </c>
      <c r="C1067">
        <v>-2.63E-2</v>
      </c>
      <c r="D1067">
        <v>-3.2100000000000004E-2</v>
      </c>
      <c r="K1067">
        <f t="shared" si="80"/>
        <v>-3.9399573174981294E-2</v>
      </c>
      <c r="L1067">
        <f t="shared" si="84"/>
        <v>-4.1899573174981296E-2</v>
      </c>
      <c r="N1067">
        <f t="shared" si="81"/>
        <v>-3.4600000000000006E-2</v>
      </c>
      <c r="P1067">
        <f t="shared" si="82"/>
        <v>-3.32E-2</v>
      </c>
      <c r="Q1067">
        <f t="shared" si="83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4"/>
        <v>6.8814371925013301E-2</v>
      </c>
      <c r="N1068">
        <f t="shared" si="81"/>
        <v>6.6799999999999998E-2</v>
      </c>
      <c r="P1068">
        <f t="shared" si="82"/>
        <v>7.4999999999999997E-2</v>
      </c>
      <c r="Q1068">
        <f t="shared" si="83"/>
        <v>-1.8700000000000001E-2</v>
      </c>
    </row>
    <row r="1069" spans="1:17">
      <c r="A1069">
        <v>201511</v>
      </c>
      <c r="B1069">
        <v>5.6000000000000008E-3</v>
      </c>
      <c r="C1069">
        <v>3.6000000000000004E-2</v>
      </c>
      <c r="D1069">
        <v>1.3100000000000001E-2</v>
      </c>
      <c r="K1069">
        <f t="shared" si="80"/>
        <v>1.7508160999974397E-2</v>
      </c>
      <c r="L1069">
        <f t="shared" si="84"/>
        <v>1.5008160999974396E-2</v>
      </c>
      <c r="N1069">
        <f t="shared" si="81"/>
        <v>1.06E-2</v>
      </c>
      <c r="P1069">
        <f t="shared" si="82"/>
        <v>3.1000000000000008E-3</v>
      </c>
      <c r="Q1069">
        <f t="shared" si="83"/>
        <v>3.6000000000000004E-2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4"/>
        <v>-3.3394981224980018E-2</v>
      </c>
      <c r="N1070">
        <f t="shared" si="81"/>
        <v>-1.46E-2</v>
      </c>
      <c r="P1070">
        <f t="shared" si="82"/>
        <v>-2.41E-2</v>
      </c>
      <c r="Q1070">
        <f t="shared" si="83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-6.2400000000000004E-2</v>
      </c>
      <c r="K1071">
        <f t="shared" si="80"/>
        <v>-6.8813518274975879E-2</v>
      </c>
      <c r="L1071">
        <f t="shared" si="84"/>
        <v>-7.1313518274975882E-2</v>
      </c>
      <c r="N1071">
        <f t="shared" si="81"/>
        <v>-6.4899999999999999E-2</v>
      </c>
      <c r="P1071">
        <f t="shared" si="82"/>
        <v>-6.0099999999999994E-2</v>
      </c>
      <c r="Q1071">
        <f t="shared" si="83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4"/>
        <v>-4.2066377500576046E-4</v>
      </c>
      <c r="N1072">
        <f t="shared" si="81"/>
        <v>-3.4800000000000005E-2</v>
      </c>
      <c r="P1072">
        <f t="shared" si="82"/>
        <v>-3.1000000000000003E-3</v>
      </c>
      <c r="Q1072">
        <f t="shared" si="83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4"/>
        <v>6.9780866874994671E-2</v>
      </c>
      <c r="N1073">
        <f t="shared" si="81"/>
        <v>5.5899999999999998E-2</v>
      </c>
      <c r="P1073">
        <f t="shared" si="82"/>
        <v>6.7299999999999999E-2</v>
      </c>
      <c r="Q1073">
        <f t="shared" si="83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4"/>
        <v>9.0162410749952335E-3</v>
      </c>
      <c r="N1074">
        <f t="shared" si="81"/>
        <v>-1.8499999999999999E-2</v>
      </c>
      <c r="P1074">
        <f t="shared" si="82"/>
        <v>6.7999999999999988E-3</v>
      </c>
      <c r="Q1074">
        <f t="shared" si="83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4"/>
        <v>1.4771513725001349E-2</v>
      </c>
      <c r="N1075">
        <f t="shared" si="81"/>
        <v>3.3700000000000001E-2</v>
      </c>
      <c r="P1075">
        <f t="shared" si="82"/>
        <v>1.5399999999999999E-2</v>
      </c>
      <c r="Q1075">
        <f t="shared" si="83"/>
        <v>-1.9E-3</v>
      </c>
    </row>
    <row r="1076" spans="1:17">
      <c r="A1076">
        <v>201606</v>
      </c>
      <c r="B1076">
        <v>-3.0000000000000003E-4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4"/>
        <v>-8.4838472500419621E-4</v>
      </c>
      <c r="N1076">
        <f t="shared" si="81"/>
        <v>6.3E-3</v>
      </c>
      <c r="P1076">
        <f t="shared" si="82"/>
        <v>-2.8E-3</v>
      </c>
      <c r="Q1076">
        <f t="shared" si="83"/>
        <v>5.8999999999999999E-3</v>
      </c>
    </row>
    <row r="1077" spans="1:17">
      <c r="A1077">
        <v>201607</v>
      </c>
      <c r="B1077">
        <v>3.9699999999999999E-2</v>
      </c>
      <c r="C1077">
        <v>2.5099999999999997E-2</v>
      </c>
      <c r="D1077">
        <v>4.2300000000000004E-2</v>
      </c>
      <c r="K1077">
        <f t="shared" si="80"/>
        <v>4.8002634474982146E-2</v>
      </c>
      <c r="L1077">
        <f t="shared" si="84"/>
        <v>4.5502634474982144E-2</v>
      </c>
      <c r="N1077">
        <f t="shared" si="81"/>
        <v>3.9800000000000002E-2</v>
      </c>
      <c r="P1077">
        <f t="shared" si="82"/>
        <v>3.7199999999999997E-2</v>
      </c>
      <c r="Q1077">
        <f t="shared" si="83"/>
        <v>2.5099999999999997E-2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4"/>
        <v>6.5701523249916786E-3</v>
      </c>
      <c r="N1078">
        <f t="shared" si="81"/>
        <v>-1.2400000000000001E-2</v>
      </c>
      <c r="P1078">
        <f t="shared" si="82"/>
        <v>2.6999999999999997E-3</v>
      </c>
      <c r="Q1078">
        <f t="shared" si="83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3.1200000000000002E-2</v>
      </c>
      <c r="K1079">
        <f t="shared" si="80"/>
        <v>9.7456619249848518E-3</v>
      </c>
      <c r="L1079">
        <f t="shared" si="84"/>
        <v>7.2456619249848513E-3</v>
      </c>
      <c r="N1079">
        <f t="shared" si="81"/>
        <v>2.8700000000000003E-2</v>
      </c>
      <c r="P1079">
        <f t="shared" si="82"/>
        <v>2.0000000000000009E-4</v>
      </c>
      <c r="Q1079">
        <f t="shared" si="83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4"/>
        <v>-3.7087497224968638E-2</v>
      </c>
      <c r="N1080">
        <f t="shared" si="81"/>
        <v>-5.5500000000000001E-2</v>
      </c>
      <c r="P1080">
        <f t="shared" si="82"/>
        <v>-2.2499999999999999E-2</v>
      </c>
      <c r="Q1080">
        <f t="shared" si="83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4"/>
        <v>6.4955353574959684E-2</v>
      </c>
      <c r="N1081">
        <f t="shared" si="81"/>
        <v>7.2900000000000006E-2</v>
      </c>
      <c r="P1081">
        <f t="shared" si="82"/>
        <v>4.6200000000000005E-2</v>
      </c>
      <c r="Q1081">
        <f t="shared" si="83"/>
        <v>5.67E-2</v>
      </c>
    </row>
    <row r="1082" spans="1:17">
      <c r="A1082">
        <v>201612</v>
      </c>
      <c r="B1082">
        <v>1.8400000000000003E-2</v>
      </c>
      <c r="C1082">
        <v>8.9999999999999998E-4</v>
      </c>
      <c r="D1082">
        <v>-4.1999999999999997E-3</v>
      </c>
      <c r="K1082">
        <f t="shared" si="80"/>
        <v>1.8697704024999363E-2</v>
      </c>
      <c r="L1082">
        <f t="shared" si="84"/>
        <v>1.6197704024999364E-2</v>
      </c>
      <c r="N1082">
        <f t="shared" si="81"/>
        <v>-6.6999999999999994E-3</v>
      </c>
      <c r="P1082">
        <f t="shared" si="82"/>
        <v>1.5900000000000004E-2</v>
      </c>
      <c r="Q1082">
        <f t="shared" si="83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4"/>
        <v>1.356216057500804E-2</v>
      </c>
      <c r="N1083">
        <f t="shared" si="81"/>
        <v>3.3999999999999996E-2</v>
      </c>
      <c r="P1083">
        <f t="shared" si="82"/>
        <v>1.7300000000000003E-2</v>
      </c>
      <c r="Q1083">
        <f t="shared" si="83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4"/>
        <v>2.685204210001451E-2</v>
      </c>
      <c r="N1084">
        <f t="shared" si="81"/>
        <v>-2.4000000000000002E-3</v>
      </c>
      <c r="P1084">
        <f t="shared" si="82"/>
        <v>3.3599999999999998E-2</v>
      </c>
      <c r="Q1084">
        <f t="shared" si="83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4"/>
        <v>3.2378394249919632E-3</v>
      </c>
      <c r="N1085">
        <f t="shared" si="81"/>
        <v>2.7000000000000006E-3</v>
      </c>
      <c r="P1085">
        <f t="shared" si="82"/>
        <v>-5.0000000000000001E-4</v>
      </c>
      <c r="Q1085">
        <f t="shared" si="83"/>
        <v>1.1299999999999999E-2</v>
      </c>
    </row>
    <row r="1086" spans="1:17">
      <c r="A1086">
        <v>201704</v>
      </c>
      <c r="B1086">
        <v>1.1400000000000002E-2</v>
      </c>
      <c r="C1086">
        <v>7.1999999999999998E-3</v>
      </c>
      <c r="D1086">
        <v>2.3999999999999998E-3</v>
      </c>
      <c r="K1086">
        <f t="shared" si="80"/>
        <v>1.3781632199994882E-2</v>
      </c>
      <c r="L1086">
        <f t="shared" si="84"/>
        <v>1.1281632199994882E-2</v>
      </c>
      <c r="N1086">
        <f t="shared" si="81"/>
        <v>-1.0000000000000026E-4</v>
      </c>
      <c r="P1086">
        <f t="shared" si="82"/>
        <v>8.9000000000000017E-3</v>
      </c>
      <c r="Q1086">
        <f t="shared" si="83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4"/>
        <v>3.64287300017922E-4</v>
      </c>
      <c r="N1087">
        <f t="shared" si="81"/>
        <v>3.2599999999999997E-2</v>
      </c>
      <c r="P1087">
        <f t="shared" si="82"/>
        <v>8.6999999999999994E-3</v>
      </c>
      <c r="Q1087">
        <f t="shared" si="83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4"/>
        <v>1.3276444174984142E-2</v>
      </c>
      <c r="N1088">
        <f t="shared" si="81"/>
        <v>6.0000000000000001E-3</v>
      </c>
      <c r="P1088">
        <f t="shared" si="82"/>
        <v>5.9000000000000007E-3</v>
      </c>
      <c r="Q1088">
        <f t="shared" si="83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2.9900000000000003E-2</v>
      </c>
      <c r="K1089">
        <f t="shared" si="80"/>
        <v>1.4570579150010384E-2</v>
      </c>
      <c r="L1089">
        <f t="shared" si="84"/>
        <v>1.2070579150010384E-2</v>
      </c>
      <c r="N1089">
        <f t="shared" si="81"/>
        <v>2.7400000000000004E-2</v>
      </c>
      <c r="P1089">
        <f t="shared" si="82"/>
        <v>1.6900000000000002E-2</v>
      </c>
      <c r="Q1089">
        <f t="shared" si="83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1.4000000000000002E-3</v>
      </c>
      <c r="K1090">
        <f t="shared" si="80"/>
        <v>-2.957907124988265E-3</v>
      </c>
      <c r="L1090">
        <f t="shared" si="84"/>
        <v>-5.4579071249882651E-3</v>
      </c>
      <c r="N1090">
        <f t="shared" si="81"/>
        <v>-1.0999999999999998E-3</v>
      </c>
      <c r="P1090">
        <f t="shared" si="82"/>
        <v>0</v>
      </c>
      <c r="Q1090">
        <f t="shared" si="83"/>
        <v>-1.6500000000000001E-2</v>
      </c>
    </row>
    <row r="1091" spans="1:17">
      <c r="A1091">
        <v>201709</v>
      </c>
      <c r="B1091">
        <v>2.5999999999999999E-2</v>
      </c>
      <c r="C1091">
        <v>4.4500000000000005E-2</v>
      </c>
      <c r="D1091">
        <v>4.2300000000000004E-2</v>
      </c>
      <c r="K1091">
        <f t="shared" ref="K1091:K1142" si="85">SUMPRODUCT($G$12:$H$12,B1091:C1091)</f>
        <v>4.071981012496835E-2</v>
      </c>
      <c r="L1091">
        <f t="shared" si="84"/>
        <v>3.8219810124968348E-2</v>
      </c>
      <c r="N1091">
        <f t="shared" ref="N1091:N1142" si="86">D1091-$I$7</f>
        <v>3.9800000000000002E-2</v>
      </c>
      <c r="P1091">
        <f t="shared" si="82"/>
        <v>2.35E-2</v>
      </c>
      <c r="Q1091">
        <f t="shared" si="83"/>
        <v>4.4500000000000005E-2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5.6600000000000004E-2</v>
      </c>
      <c r="K1092">
        <f t="shared" si="85"/>
        <v>1.7015902575013727E-2</v>
      </c>
      <c r="L1092">
        <f t="shared" ref="L1092:L1142" si="87">K1092-$I$7</f>
        <v>1.4515902575013727E-2</v>
      </c>
      <c r="N1092">
        <f t="shared" si="86"/>
        <v>5.4100000000000002E-2</v>
      </c>
      <c r="P1092">
        <f t="shared" ref="P1092:P1142" si="88">B1092-0.0025</f>
        <v>2.0900000000000002E-2</v>
      </c>
      <c r="Q1092">
        <f t="shared" ref="Q1092:Q1142" si="89">C1092</f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7"/>
        <v>2.7647619400003983E-2</v>
      </c>
      <c r="N1093">
        <f t="shared" si="86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-1.3200000000000002E-2</v>
      </c>
      <c r="D1094">
        <v>-6.0000000000000001E-3</v>
      </c>
      <c r="K1094">
        <f t="shared" si="85"/>
        <v>7.1336743000093876E-3</v>
      </c>
      <c r="L1094">
        <f t="shared" si="87"/>
        <v>4.6336743000093879E-3</v>
      </c>
      <c r="N1094">
        <f t="shared" si="86"/>
        <v>-8.5000000000000006E-3</v>
      </c>
      <c r="P1094">
        <f t="shared" si="88"/>
        <v>8.9999999999999993E-3</v>
      </c>
      <c r="Q1094">
        <f t="shared" si="89"/>
        <v>-1.3200000000000002E-2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7"/>
        <v>4.388112445002261E-2</v>
      </c>
      <c r="N1095">
        <f t="shared" si="86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2.6000000000000003E-3</v>
      </c>
      <c r="D1096">
        <v>-1.44E-2</v>
      </c>
      <c r="K1096">
        <f t="shared" si="85"/>
        <v>-3.453996615000185E-2</v>
      </c>
      <c r="L1096">
        <f t="shared" si="87"/>
        <v>-3.7039966150001852E-2</v>
      </c>
      <c r="N1096">
        <f t="shared" si="86"/>
        <v>-1.6899999999999998E-2</v>
      </c>
      <c r="P1096">
        <f t="shared" si="88"/>
        <v>-3.7900000000000003E-2</v>
      </c>
      <c r="Q1096">
        <f t="shared" si="89"/>
        <v>2.6000000000000003E-3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7"/>
        <v>-1.1370240650028876E-2</v>
      </c>
      <c r="N1097">
        <f t="shared" si="86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1.1000000000000001E-2</v>
      </c>
      <c r="D1098">
        <v>1.3899999999999999E-2</v>
      </c>
      <c r="K1098">
        <f t="shared" si="85"/>
        <v>7.9386047499921779E-3</v>
      </c>
      <c r="L1098">
        <f t="shared" si="87"/>
        <v>5.4386047499921774E-3</v>
      </c>
      <c r="N1098">
        <f t="shared" si="86"/>
        <v>1.1399999999999999E-2</v>
      </c>
      <c r="P1098">
        <f t="shared" si="88"/>
        <v>1.8E-3</v>
      </c>
      <c r="Q1098">
        <f t="shared" si="89"/>
        <v>1.1000000000000001E-2</v>
      </c>
    </row>
    <row r="1099" spans="1:17">
      <c r="A1099">
        <v>201805</v>
      </c>
      <c r="B1099">
        <v>2.7900000000000001E-2</v>
      </c>
      <c r="C1099">
        <v>5.3099999999999994E-2</v>
      </c>
      <c r="D1099">
        <v>7.3300000000000004E-2</v>
      </c>
      <c r="K1099">
        <f t="shared" si="85"/>
        <v>4.5464537474962236E-2</v>
      </c>
      <c r="L1099">
        <f t="shared" si="87"/>
        <v>4.2964537474962233E-2</v>
      </c>
      <c r="N1099">
        <f t="shared" si="86"/>
        <v>7.0800000000000002E-2</v>
      </c>
      <c r="P1099">
        <f t="shared" si="88"/>
        <v>2.5400000000000002E-2</v>
      </c>
      <c r="Q1099">
        <f t="shared" si="89"/>
        <v>5.3099999999999994E-2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7"/>
        <v>7.4378394249919617E-3</v>
      </c>
      <c r="N1100">
        <f t="shared" si="86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3.3499999999999995E-2</v>
      </c>
      <c r="C1101">
        <v>-2.2499999999999999E-2</v>
      </c>
      <c r="D1101">
        <v>9.4999999999999998E-3</v>
      </c>
      <c r="K1101">
        <f t="shared" si="85"/>
        <v>2.6057399375015999E-2</v>
      </c>
      <c r="L1101">
        <f t="shared" si="87"/>
        <v>2.3557399375016001E-2</v>
      </c>
      <c r="N1101">
        <f t="shared" si="86"/>
        <v>6.9999999999999993E-3</v>
      </c>
      <c r="P1101">
        <f t="shared" si="88"/>
        <v>3.0999999999999996E-2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1.1399999999999999E-2</v>
      </c>
      <c r="D1102">
        <v>0.10009999999999999</v>
      </c>
      <c r="K1102">
        <f t="shared" si="85"/>
        <v>3.977091764999189E-2</v>
      </c>
      <c r="L1102">
        <f t="shared" si="87"/>
        <v>3.7270917649991887E-2</v>
      </c>
      <c r="N1102">
        <f t="shared" si="86"/>
        <v>9.7599999999999992E-2</v>
      </c>
      <c r="P1102">
        <f t="shared" si="88"/>
        <v>3.3499999999999995E-2</v>
      </c>
      <c r="Q1102">
        <f t="shared" si="89"/>
        <v>1.1399999999999999E-2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7"/>
        <v>-8.0079917499836419E-3</v>
      </c>
      <c r="N1103">
        <f t="shared" si="86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-0.15789999999999998</v>
      </c>
      <c r="K1104">
        <f t="shared" si="85"/>
        <v>-9.0843704449965715E-2</v>
      </c>
      <c r="L1104">
        <f t="shared" si="87"/>
        <v>-9.3343704449965717E-2</v>
      </c>
      <c r="N1104">
        <f t="shared" si="86"/>
        <v>-0.16039999999999999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1.8699999999999998E-2</v>
      </c>
      <c r="C1105">
        <v>-6.8000000000000005E-3</v>
      </c>
      <c r="D1105">
        <v>1.6500000000000001E-2</v>
      </c>
      <c r="K1105">
        <f t="shared" si="85"/>
        <v>1.6450680700004834E-2</v>
      </c>
      <c r="L1105">
        <f t="shared" si="87"/>
        <v>1.3950680700004834E-2</v>
      </c>
      <c r="N1105">
        <f t="shared" si="86"/>
        <v>1.4E-2</v>
      </c>
      <c r="P1105">
        <f t="shared" si="88"/>
        <v>1.6199999999999999E-2</v>
      </c>
      <c r="Q1105">
        <f t="shared" si="89"/>
        <v>-6.8000000000000005E-3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7"/>
        <v>-0.10410493044998281</v>
      </c>
      <c r="N1106">
        <f t="shared" si="86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2.8999999999999998E-2</v>
      </c>
      <c r="D1107">
        <v>0.1084</v>
      </c>
      <c r="K1107">
        <f t="shared" si="85"/>
        <v>9.5792685249979387E-2</v>
      </c>
      <c r="L1107">
        <f t="shared" si="87"/>
        <v>9.3292685249979385E-2</v>
      </c>
      <c r="N1107">
        <f t="shared" si="86"/>
        <v>0.10589999999999999</v>
      </c>
      <c r="P1107">
        <f t="shared" si="88"/>
        <v>8.3700000000000011E-2</v>
      </c>
      <c r="Q1107">
        <f t="shared" si="89"/>
        <v>2.8999999999999998E-2</v>
      </c>
    </row>
    <row r="1108" spans="1:17">
      <c r="A1108">
        <v>201902</v>
      </c>
      <c r="B1108">
        <v>3.5800000000000005E-2</v>
      </c>
      <c r="C1108">
        <v>2.0400000000000001E-2</v>
      </c>
      <c r="D1108">
        <v>4.99E-2</v>
      </c>
      <c r="K1108">
        <f t="shared" si="85"/>
        <v>4.25479578999855E-2</v>
      </c>
      <c r="L1108">
        <f t="shared" si="87"/>
        <v>4.0047957899985498E-2</v>
      </c>
      <c r="N1108">
        <f t="shared" si="86"/>
        <v>4.7399999999999998E-2</v>
      </c>
      <c r="P1108">
        <f t="shared" si="88"/>
        <v>3.3300000000000003E-2</v>
      </c>
      <c r="Q1108">
        <f t="shared" si="89"/>
        <v>2.0400000000000001E-2</v>
      </c>
    </row>
    <row r="1109" spans="1:17">
      <c r="A1109">
        <v>201903</v>
      </c>
      <c r="B1109">
        <v>1.2900000000000002E-2</v>
      </c>
      <c r="C1109">
        <v>-2.98E-2</v>
      </c>
      <c r="D1109">
        <v>4.8999999999999998E-3</v>
      </c>
      <c r="K1109">
        <f t="shared" si="85"/>
        <v>3.0426889500211954E-3</v>
      </c>
      <c r="L1109">
        <f t="shared" si="87"/>
        <v>5.4268895002119533E-4</v>
      </c>
      <c r="N1109">
        <f t="shared" si="86"/>
        <v>2.3999999999999998E-3</v>
      </c>
      <c r="P1109">
        <f t="shared" si="88"/>
        <v>1.0400000000000001E-2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7"/>
        <v>3.3444388850012371E-2</v>
      </c>
      <c r="N1110">
        <f t="shared" si="86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7"/>
        <v>-7.4232482149990467E-2</v>
      </c>
      <c r="N1111">
        <f t="shared" si="86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7"/>
        <v>6.9426955624998218E-2</v>
      </c>
      <c r="N1112">
        <f t="shared" si="86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7"/>
        <v>4.8828243500137966E-3</v>
      </c>
      <c r="N1113">
        <f t="shared" si="86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7"/>
        <v>-3.4374148199983502E-2</v>
      </c>
      <c r="N1114">
        <f t="shared" si="86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-3.0299999999999997E-2</v>
      </c>
      <c r="K1115">
        <f t="shared" si="85"/>
        <v>1.2891412175006899E-2</v>
      </c>
      <c r="L1115">
        <f t="shared" si="87"/>
        <v>1.0391412175006899E-2</v>
      </c>
      <c r="N1115">
        <f t="shared" si="86"/>
        <v>-3.2799999999999996E-2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2.8000000000000004E-3</v>
      </c>
      <c r="D1116">
        <v>-5.5000000000000005E-3</v>
      </c>
      <c r="K1116">
        <f t="shared" si="85"/>
        <v>2.3026190299998011E-2</v>
      </c>
      <c r="L1116">
        <f t="shared" si="87"/>
        <v>2.0526190299998012E-2</v>
      </c>
      <c r="N1116">
        <f t="shared" si="86"/>
        <v>-8.0000000000000002E-3</v>
      </c>
      <c r="P1116">
        <f t="shared" si="88"/>
        <v>1.9600000000000003E-2</v>
      </c>
      <c r="Q1116">
        <f t="shared" si="89"/>
        <v>2.8000000000000004E-3</v>
      </c>
    </row>
    <row r="1117" spans="1:17">
      <c r="A1117">
        <v>201911</v>
      </c>
      <c r="B1117">
        <v>3.9900000000000005E-2</v>
      </c>
      <c r="C1117">
        <v>8.0000000000000002E-3</v>
      </c>
      <c r="D1117">
        <v>3.5700000000000003E-2</v>
      </c>
      <c r="K1117">
        <f t="shared" si="85"/>
        <v>4.2546257999994314E-2</v>
      </c>
      <c r="L1117">
        <f t="shared" si="87"/>
        <v>4.0046257999994311E-2</v>
      </c>
      <c r="N1117">
        <f t="shared" si="86"/>
        <v>3.32E-2</v>
      </c>
      <c r="P1117">
        <f t="shared" si="88"/>
        <v>3.7400000000000003E-2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7"/>
        <v>2.8981632199994879E-2</v>
      </c>
      <c r="N1118">
        <f t="shared" si="86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7"/>
        <v>-1.265348442497774E-2</v>
      </c>
      <c r="N1119">
        <f t="shared" si="86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7"/>
        <v>-7.9192942825007329E-2</v>
      </c>
      <c r="N1120">
        <f t="shared" si="86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7"/>
        <v>-0.15127525202496522</v>
      </c>
      <c r="N1121">
        <f t="shared" si="86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2.4700000000000003E-2</v>
      </c>
      <c r="D1122">
        <v>0.1472</v>
      </c>
      <c r="K1122">
        <f t="shared" si="85"/>
        <v>0.14467032157498244</v>
      </c>
      <c r="L1122">
        <f t="shared" si="87"/>
        <v>0.14217032157498244</v>
      </c>
      <c r="N1122">
        <f t="shared" si="86"/>
        <v>0.1447</v>
      </c>
      <c r="P1122">
        <f t="shared" si="88"/>
        <v>0.13400000000000001</v>
      </c>
      <c r="Q1122">
        <f t="shared" si="89"/>
        <v>2.4700000000000003E-2</v>
      </c>
    </row>
    <row r="1123" spans="1:17">
      <c r="A1123">
        <v>202005</v>
      </c>
      <c r="B1123">
        <v>5.5900000000000005E-2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7"/>
        <v>6.1504165124982579E-2</v>
      </c>
      <c r="N1123">
        <f t="shared" si="86"/>
        <v>6.4100000000000004E-2</v>
      </c>
      <c r="P1123">
        <f t="shared" si="88"/>
        <v>5.3400000000000003E-2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7"/>
        <v>3.1098042524980867E-2</v>
      </c>
      <c r="N1124">
        <f t="shared" si="86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7"/>
        <v>4.7791242925016138E-2</v>
      </c>
      <c r="N1125">
        <f t="shared" si="86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0.11460000000000001</v>
      </c>
      <c r="K1126">
        <f t="shared" si="85"/>
        <v>7.5672279050001567E-2</v>
      </c>
      <c r="L1126">
        <f t="shared" si="87"/>
        <v>7.3172279050001565E-2</v>
      </c>
      <c r="N1126">
        <f t="shared" si="86"/>
        <v>0.11210000000000001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-3.6199999999999996E-2</v>
      </c>
      <c r="C1127">
        <v>-4.0000000000000002E-4</v>
      </c>
      <c r="D1127">
        <v>-6.0599999999999994E-2</v>
      </c>
      <c r="K1127">
        <f t="shared" si="85"/>
        <v>-3.6332312899999712E-2</v>
      </c>
      <c r="L1127">
        <f t="shared" si="87"/>
        <v>-3.8832312899999714E-2</v>
      </c>
      <c r="N1127">
        <f t="shared" si="86"/>
        <v>-6.3099999999999989E-2</v>
      </c>
      <c r="P1127">
        <f t="shared" si="88"/>
        <v>-3.8699999999999998E-2</v>
      </c>
      <c r="Q1127">
        <f t="shared" si="89"/>
        <v>-4.0000000000000002E-4</v>
      </c>
    </row>
    <row r="1128" spans="1:17">
      <c r="A1128">
        <v>202010</v>
      </c>
      <c r="B1128">
        <v>-2.0900000000000002E-2</v>
      </c>
      <c r="C1128">
        <v>4.3899999999999995E-2</v>
      </c>
      <c r="D1128">
        <v>-3.7400000000000003E-2</v>
      </c>
      <c r="K1128">
        <f t="shared" si="85"/>
        <v>-6.3786592250312264E-3</v>
      </c>
      <c r="L1128">
        <f t="shared" si="87"/>
        <v>-8.8786592250312268E-3</v>
      </c>
      <c r="N1128">
        <f t="shared" si="86"/>
        <v>-3.9900000000000005E-2</v>
      </c>
      <c r="P1128">
        <f t="shared" si="88"/>
        <v>-2.3400000000000001E-2</v>
      </c>
      <c r="Q1128">
        <f t="shared" si="89"/>
        <v>4.3899999999999995E-2</v>
      </c>
    </row>
    <row r="1129" spans="1:17">
      <c r="A1129">
        <v>202011</v>
      </c>
      <c r="B1129">
        <v>0.12480000000000001</v>
      </c>
      <c r="C1129">
        <v>5.7400000000000007E-2</v>
      </c>
      <c r="D1129">
        <v>0.10400000000000001</v>
      </c>
      <c r="K1129">
        <f t="shared" si="85"/>
        <v>0.14378690114995918</v>
      </c>
      <c r="L1129">
        <f t="shared" si="87"/>
        <v>0.14128690114995918</v>
      </c>
      <c r="N1129">
        <f t="shared" si="86"/>
        <v>0.10150000000000001</v>
      </c>
      <c r="P1129">
        <f t="shared" si="88"/>
        <v>0.12230000000000001</v>
      </c>
      <c r="Q1129">
        <f t="shared" si="89"/>
        <v>5.7400000000000007E-2</v>
      </c>
    </row>
    <row r="1130" spans="1:17">
      <c r="A1130">
        <v>202012</v>
      </c>
      <c r="B1130">
        <v>4.6400000000000004E-2</v>
      </c>
      <c r="C1130">
        <v>4.8300000000000003E-2</v>
      </c>
      <c r="D1130">
        <v>6.3899999999999998E-2</v>
      </c>
      <c r="K1130">
        <f t="shared" si="85"/>
        <v>6.2376782674965658E-2</v>
      </c>
      <c r="L1130">
        <f t="shared" si="87"/>
        <v>5.9876782674965656E-2</v>
      </c>
      <c r="N1130">
        <f t="shared" si="86"/>
        <v>6.1399999999999996E-2</v>
      </c>
      <c r="P1130">
        <f t="shared" si="88"/>
        <v>4.3900000000000002E-2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7"/>
        <v>2.0950165549948937E-2</v>
      </c>
      <c r="N1131">
        <f t="shared" si="86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7"/>
        <v>3.1816410324985986E-2</v>
      </c>
      <c r="N1132">
        <f t="shared" si="86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-2.3700000000000002E-2</v>
      </c>
      <c r="D1133">
        <v>-4.02E-2</v>
      </c>
      <c r="K1133">
        <f t="shared" si="85"/>
        <v>2.2960460675016857E-2</v>
      </c>
      <c r="L1133">
        <f t="shared" si="87"/>
        <v>2.0460460675016858E-2</v>
      </c>
      <c r="N1133">
        <f t="shared" si="86"/>
        <v>-4.2700000000000002E-2</v>
      </c>
      <c r="P1133">
        <f t="shared" si="88"/>
        <v>2.8300000000000002E-2</v>
      </c>
      <c r="Q1133">
        <f t="shared" si="89"/>
        <v>-2.3700000000000002E-2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4.4500000000000005E-2</v>
      </c>
      <c r="K1134">
        <f t="shared" si="85"/>
        <v>3.8946515575022253E-2</v>
      </c>
      <c r="L1134">
        <f t="shared" si="87"/>
        <v>3.6446515575022251E-2</v>
      </c>
      <c r="N1134">
        <f t="shared" si="86"/>
        <v>4.2000000000000003E-2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7"/>
        <v>-3.9387739999829354E-4</v>
      </c>
      <c r="N1135">
        <f t="shared" si="86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7"/>
        <v>3.0788689374987552E-2</v>
      </c>
      <c r="N1136">
        <f t="shared" si="86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1.2700000000000001E-2</v>
      </c>
      <c r="C1137">
        <v>-3.9600000000000003E-2</v>
      </c>
      <c r="D1137">
        <v>-4.7000000000000002E-3</v>
      </c>
      <c r="K1137">
        <f t="shared" si="85"/>
        <v>-3.9897709997183638E-4</v>
      </c>
      <c r="L1137">
        <f t="shared" si="87"/>
        <v>-2.8989770999718364E-3</v>
      </c>
      <c r="N1137">
        <f t="shared" si="86"/>
        <v>-7.1999999999999998E-3</v>
      </c>
      <c r="P1137">
        <f t="shared" si="88"/>
        <v>1.0200000000000001E-2</v>
      </c>
      <c r="Q1137">
        <f t="shared" si="89"/>
        <v>-3.9600000000000003E-2</v>
      </c>
    </row>
    <row r="1138" spans="1:17">
      <c r="A1138">
        <v>202108</v>
      </c>
      <c r="B1138">
        <v>2.8999999999999998E-2</v>
      </c>
      <c r="C1138">
        <v>-4.7999999999999996E-3</v>
      </c>
      <c r="D1138">
        <v>2.9500000000000002E-2</v>
      </c>
      <c r="K1138">
        <f t="shared" si="85"/>
        <v>2.7412245200003411E-2</v>
      </c>
      <c r="L1138">
        <f t="shared" si="87"/>
        <v>2.4912245200003413E-2</v>
      </c>
      <c r="N1138">
        <f t="shared" si="86"/>
        <v>2.7000000000000003E-2</v>
      </c>
      <c r="P1138">
        <f t="shared" si="88"/>
        <v>2.6499999999999999E-2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7"/>
        <v>-4.3553742000005696E-2</v>
      </c>
      <c r="N1139">
        <f t="shared" si="86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-2.2799999999999997E-2</v>
      </c>
      <c r="D1140">
        <v>3.9399999999999998E-2</v>
      </c>
      <c r="K1140">
        <f t="shared" si="85"/>
        <v>5.8958164700016219E-2</v>
      </c>
      <c r="L1140">
        <f t="shared" si="87"/>
        <v>5.6458164700016217E-2</v>
      </c>
      <c r="N1140">
        <f t="shared" si="86"/>
        <v>3.6899999999999995E-2</v>
      </c>
      <c r="P1140">
        <f t="shared" si="88"/>
        <v>6.4000000000000001E-2</v>
      </c>
      <c r="Q1140">
        <f t="shared" si="89"/>
        <v>-2.2799999999999997E-2</v>
      </c>
    </row>
    <row r="1141" spans="1:17">
      <c r="A1141">
        <v>202111</v>
      </c>
      <c r="B1141">
        <v>-1.5500000000000002E-2</v>
      </c>
      <c r="C1141">
        <v>-1.3500000000000002E-2</v>
      </c>
      <c r="D1141">
        <v>-2.5099999999999997E-2</v>
      </c>
      <c r="K1141">
        <f t="shared" si="85"/>
        <v>-1.99655603749904E-2</v>
      </c>
      <c r="L1141">
        <f t="shared" si="87"/>
        <v>-2.2465560374990399E-2</v>
      </c>
      <c r="N1141">
        <f t="shared" si="86"/>
        <v>-2.7599999999999996E-2</v>
      </c>
      <c r="P1141">
        <f t="shared" si="88"/>
        <v>-1.8000000000000002E-2</v>
      </c>
      <c r="Q1141">
        <f t="shared" si="89"/>
        <v>-1.3500000000000002E-2</v>
      </c>
    </row>
    <row r="1142" spans="1:17">
      <c r="A1142">
        <v>202112</v>
      </c>
      <c r="B1142">
        <v>3.1100000000000003E-2</v>
      </c>
      <c r="C1142">
        <v>-1.5800000000000002E-2</v>
      </c>
      <c r="D1142">
        <v>-6.3700000000000007E-2</v>
      </c>
      <c r="K1142">
        <f t="shared" si="85"/>
        <v>2.587364045001124E-2</v>
      </c>
      <c r="L1142">
        <f t="shared" si="87"/>
        <v>2.3373640450011241E-2</v>
      </c>
      <c r="N1142">
        <f t="shared" si="86"/>
        <v>-6.6200000000000009E-2</v>
      </c>
      <c r="P1142">
        <f t="shared" si="88"/>
        <v>2.8600000000000004E-2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A091-FEED-4D9B-9CD7-F12A62029D7F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79</v>
      </c>
    </row>
    <row r="2" spans="1:15">
      <c r="B2" t="s">
        <v>1166</v>
      </c>
      <c r="C2" t="s">
        <v>117</v>
      </c>
      <c r="D2" t="s">
        <v>119</v>
      </c>
      <c r="E2" t="s">
        <v>120</v>
      </c>
      <c r="F2" t="s">
        <v>121</v>
      </c>
      <c r="J2" t="s">
        <v>106</v>
      </c>
      <c r="K2" t="s">
        <v>117</v>
      </c>
      <c r="L2" t="s">
        <v>119</v>
      </c>
      <c r="M2" t="s">
        <v>120</v>
      </c>
      <c r="N2" t="s">
        <v>121</v>
      </c>
    </row>
    <row r="3" spans="1:15">
      <c r="A3">
        <v>196307</v>
      </c>
      <c r="B3">
        <v>-1.2000000000000001E-3</v>
      </c>
      <c r="C3">
        <v>-4.4000000000000003E-3</v>
      </c>
      <c r="D3">
        <v>-8.8999999999999999E-3</v>
      </c>
      <c r="E3">
        <v>6.8000000000000005E-3</v>
      </c>
      <c r="F3">
        <v>-1.23E-2</v>
      </c>
      <c r="I3" t="s">
        <v>106</v>
      </c>
      <c r="J3">
        <f>COVAR($B3:$B704,B3:B704)</f>
        <v>1.9597277323438922E-3</v>
      </c>
      <c r="K3">
        <f>COVAR($B3:$B704,C3:C704)</f>
        <v>3.76278041067037E-4</v>
      </c>
      <c r="L3">
        <f>COVAR($B3:$B704,D3:D704)</f>
        <v>-2.6545484312221466E-4</v>
      </c>
      <c r="M3">
        <f>COVAR($B3:$B704,E3:E704)</f>
        <v>-1.898856953880245E-4</v>
      </c>
      <c r="N3">
        <f>COVAR($B3:$B704,F3:F704)</f>
        <v>-3.2632455824222205E-4</v>
      </c>
    </row>
    <row r="4" spans="1:15">
      <c r="A4">
        <v>196308</v>
      </c>
      <c r="B4">
        <v>5.3200000000000004E-2</v>
      </c>
      <c r="C4">
        <v>-7.4999999999999997E-3</v>
      </c>
      <c r="D4">
        <v>1.6799999999999999E-2</v>
      </c>
      <c r="E4">
        <v>3.5999999999999999E-3</v>
      </c>
      <c r="F4">
        <v>-3.4000000000000002E-3</v>
      </c>
      <c r="I4" t="s">
        <v>117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-1.6892280845934704E-5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-1.3000000000000001E-2</v>
      </c>
      <c r="C5">
        <v>-5.5000000000000005E-3</v>
      </c>
      <c r="D5">
        <v>8.0000000000000004E-4</v>
      </c>
      <c r="E5">
        <v>-7.0999999999999995E-3</v>
      </c>
      <c r="F5">
        <v>2.8999999999999998E-3</v>
      </c>
      <c r="I5" t="s">
        <v>119</v>
      </c>
      <c r="J5">
        <f>COVAR(B3:B704,$D3:$D704)</f>
        <v>-2.6545484312221466E-4</v>
      </c>
      <c r="K5">
        <f>COVAR(C3:C704,$D3:$D704)</f>
        <v>-1.6892280845934704E-5</v>
      </c>
      <c r="L5">
        <f>COVAR(D3:D704,$D3:$D704)</f>
        <v>8.4011019888231419E-4</v>
      </c>
      <c r="M5">
        <f>COVAR(E3:E704,$D3:$D704)</f>
        <v>5.6929560048213842E-5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-1.3700000000000002E-2</v>
      </c>
      <c r="D6">
        <v>-1.4000000000000002E-3</v>
      </c>
      <c r="E6">
        <v>2.7999999999999997E-2</v>
      </c>
      <c r="F6">
        <v>-2.0199999999999999E-2</v>
      </c>
      <c r="I6" t="s">
        <v>120</v>
      </c>
      <c r="J6">
        <f>COVAR(B3:B704,$E3:$E704)</f>
        <v>-1.898856953880245E-4</v>
      </c>
      <c r="K6">
        <f>COVAR(C3:C704,$E3:$E704)</f>
        <v>-2.3429380323617546E-4</v>
      </c>
      <c r="L6">
        <f>COVAR(D3:D704,$E3:$E704)</f>
        <v>5.6929560048213842E-5</v>
      </c>
      <c r="M6">
        <f>COVAR(E3:E704,$E3:$E704)</f>
        <v>4.8983055537292724E-4</v>
      </c>
      <c r="N6">
        <f>COVAR(F3:F704,$E3:$E704)</f>
        <v>-1.1334378089463524E-5</v>
      </c>
    </row>
    <row r="7" spans="1:15">
      <c r="A7">
        <v>196311</v>
      </c>
      <c r="B7">
        <v>-5.8000000000000005E-3</v>
      </c>
      <c r="C7">
        <v>-8.8999999999999999E-3</v>
      </c>
      <c r="D7">
        <v>1.8100000000000002E-2</v>
      </c>
      <c r="E7">
        <v>-5.1000000000000004E-3</v>
      </c>
      <c r="F7">
        <v>2.3100000000000002E-2</v>
      </c>
      <c r="I7" t="s">
        <v>121</v>
      </c>
      <c r="J7">
        <f>COVAR(B3:B704,$F3:$F704)</f>
        <v>-3.2632455824222205E-4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-1.1334378089463524E-5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2.5400000000000002E-2</v>
      </c>
      <c r="C9">
        <v>1.1000000000000001E-3</v>
      </c>
      <c r="D9">
        <v>1.47E-2</v>
      </c>
      <c r="E9">
        <v>1.7000000000000001E-3</v>
      </c>
      <c r="F9">
        <v>1.5100000000000001E-2</v>
      </c>
      <c r="I9" t="s">
        <v>959</v>
      </c>
    </row>
    <row r="10" spans="1:15">
      <c r="A10">
        <v>196402</v>
      </c>
      <c r="B10">
        <v>1.8000000000000002E-2</v>
      </c>
      <c r="C10">
        <v>3.0000000000000001E-3</v>
      </c>
      <c r="D10">
        <v>2.7400000000000004E-2</v>
      </c>
      <c r="E10">
        <v>-5.0000000000000001E-4</v>
      </c>
      <c r="F10">
        <v>9.0000000000000011E-3</v>
      </c>
      <c r="J10" t="s">
        <v>106</v>
      </c>
      <c r="K10" t="s">
        <v>117</v>
      </c>
      <c r="L10" t="s">
        <v>119</v>
      </c>
      <c r="M10" t="s">
        <v>120</v>
      </c>
      <c r="N10" t="s">
        <v>121</v>
      </c>
      <c r="O10" t="s">
        <v>93</v>
      </c>
    </row>
    <row r="11" spans="1:15">
      <c r="A11">
        <v>196403</v>
      </c>
      <c r="B11">
        <v>1.72E-2</v>
      </c>
      <c r="C11">
        <v>1.3600000000000001E-2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2.2773504273504285E-3</v>
      </c>
      <c r="L11">
        <f>AVERAGE(D3:D704)</f>
        <v>2.7294871794871795E-3</v>
      </c>
      <c r="M11">
        <f>AVERAGE(E3:E704)</f>
        <v>2.7559829059829065E-3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-1.2700000000000001E-2</v>
      </c>
      <c r="F12">
        <v>-1.0400000000000001E-2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1.4000000000000002E-3</v>
      </c>
      <c r="I13" t="s">
        <v>976</v>
      </c>
    </row>
    <row r="14" spans="1:15">
      <c r="A14">
        <v>196406</v>
      </c>
      <c r="B14">
        <v>1.5700000000000002E-2</v>
      </c>
      <c r="C14">
        <v>3.0999999999999999E-3</v>
      </c>
      <c r="D14">
        <v>6.3E-3</v>
      </c>
      <c r="E14">
        <v>-2.8000000000000004E-3</v>
      </c>
      <c r="F14">
        <v>-1.5E-3</v>
      </c>
      <c r="J14" t="s">
        <v>106</v>
      </c>
      <c r="K14" t="s">
        <v>117</v>
      </c>
      <c r="L14" t="s">
        <v>119</v>
      </c>
      <c r="M14" t="s">
        <v>120</v>
      </c>
      <c r="N14" t="s">
        <v>121</v>
      </c>
    </row>
    <row r="15" spans="1:15">
      <c r="A15">
        <v>196407</v>
      </c>
      <c r="B15">
        <v>2.0399999999999998E-2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-0.40552532285486814</v>
      </c>
      <c r="M15">
        <v>1.8719319098874976</v>
      </c>
      <c r="N15">
        <v>2.6543344918287883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3.3000000000000004E-3</v>
      </c>
    </row>
    <row r="17" spans="1:11">
      <c r="A17">
        <v>196409</v>
      </c>
      <c r="B17">
        <v>2.9700000000000001E-2</v>
      </c>
      <c r="C17">
        <v>-3.3000000000000004E-3</v>
      </c>
      <c r="D17">
        <v>1.7000000000000001E-2</v>
      </c>
      <c r="E17">
        <v>-5.4000000000000003E-3</v>
      </c>
      <c r="F17">
        <v>6.1000000000000004E-3</v>
      </c>
      <c r="J17" t="s">
        <v>961</v>
      </c>
      <c r="K17" t="s">
        <v>118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275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-2.6000000000000003E-3</v>
      </c>
      <c r="I19" t="s">
        <v>950</v>
      </c>
      <c r="J19">
        <f>SUMPRODUCT(MMULT(J15:N15,J3:N7),J15:N15)</f>
        <v>3.4768405292575017E-3</v>
      </c>
      <c r="K19">
        <f>J19*12</f>
        <v>4.1722086351090024E-2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1.0400000000000001E-2</v>
      </c>
      <c r="F20">
        <v>-1.4800000000000001E-2</v>
      </c>
      <c r="I20" t="s">
        <v>960</v>
      </c>
      <c r="J20">
        <f>SQRT(J19)</f>
        <v>5.8964739711606477E-2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74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106</v>
      </c>
      <c r="K23" t="s">
        <v>118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4.0999999999999995E-3</v>
      </c>
      <c r="F24">
        <v>-2.2700000000000001E-2</v>
      </c>
      <c r="I24" t="s">
        <v>0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1.3000000000000002E-3</v>
      </c>
      <c r="D25">
        <v>-1.61E-2</v>
      </c>
      <c r="E25">
        <v>-4.0000000000000001E-3</v>
      </c>
      <c r="F25">
        <v>5.0000000000000001E-3</v>
      </c>
      <c r="I25" t="s">
        <v>122</v>
      </c>
      <c r="J25">
        <f>SQRT(J3)</f>
        <v>4.4268812185825498E-2</v>
      </c>
      <c r="K25">
        <f>J25*SQRT(12)</f>
        <v>0.15335166379314802</v>
      </c>
    </row>
    <row r="26" spans="1:11">
      <c r="A26">
        <v>196506</v>
      </c>
      <c r="B26">
        <v>-5.1599999999999993E-2</v>
      </c>
      <c r="C26">
        <v>-4.2800000000000005E-2</v>
      </c>
      <c r="D26">
        <v>5.8999999999999999E-3</v>
      </c>
      <c r="E26">
        <v>2.0999999999999999E-3</v>
      </c>
      <c r="F26">
        <v>3.7000000000000002E-3</v>
      </c>
      <c r="I26" t="s">
        <v>74</v>
      </c>
      <c r="J26">
        <f>J24/J25</f>
        <v>0.13308360221463911</v>
      </c>
      <c r="K26">
        <f>K24/K25</f>
        <v>0.46101512138008177</v>
      </c>
    </row>
    <row r="27" spans="1:11">
      <c r="A27">
        <v>196507</v>
      </c>
      <c r="B27">
        <v>1.7399999999999999E-2</v>
      </c>
      <c r="C27">
        <v>1.0700000000000001E-2</v>
      </c>
      <c r="D27">
        <v>2.1400000000000002E-2</v>
      </c>
      <c r="E27">
        <v>-1.3700000000000002E-2</v>
      </c>
      <c r="F27">
        <v>2.9999999999999997E-4</v>
      </c>
    </row>
    <row r="28" spans="1:11">
      <c r="A28">
        <v>196508</v>
      </c>
      <c r="B28">
        <v>3.0600000000000002E-2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1.5700000000000002E-2</v>
      </c>
      <c r="E30">
        <v>1.17E-2</v>
      </c>
      <c r="F30">
        <v>-6.5000000000000006E-3</v>
      </c>
    </row>
    <row r="31" spans="1:11">
      <c r="A31">
        <v>196511</v>
      </c>
      <c r="B31">
        <v>3.1999999999999997E-3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2.6600000000000002E-2</v>
      </c>
      <c r="D32">
        <v>2.0199999999999999E-2</v>
      </c>
      <c r="E32">
        <v>-1.1399999999999999E-2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-1.7000000000000001E-3</v>
      </c>
      <c r="F34">
        <v>-1.49E-2</v>
      </c>
    </row>
    <row r="35" spans="1:6">
      <c r="A35">
        <v>196603</v>
      </c>
      <c r="B35">
        <v>-2.1299999999999996E-2</v>
      </c>
      <c r="C35">
        <v>3.2000000000000002E-3</v>
      </c>
      <c r="D35">
        <v>-0.02</v>
      </c>
      <c r="E35">
        <v>1.3000000000000001E-2</v>
      </c>
      <c r="F35">
        <v>5.9999999999999995E-4</v>
      </c>
    </row>
    <row r="36" spans="1:6">
      <c r="A36">
        <v>196604</v>
      </c>
      <c r="B36">
        <v>2.4800000000000003E-2</v>
      </c>
      <c r="C36">
        <v>3.3399999999999999E-2</v>
      </c>
      <c r="D36">
        <v>-4.7000000000000002E-3</v>
      </c>
      <c r="E36">
        <v>3.9000000000000003E-3</v>
      </c>
      <c r="F36">
        <v>-9.4999999999999998E-3</v>
      </c>
    </row>
    <row r="37" spans="1:6">
      <c r="A37">
        <v>196605</v>
      </c>
      <c r="B37">
        <v>-5.2500000000000005E-2</v>
      </c>
      <c r="C37">
        <v>-5.0999999999999997E-2</v>
      </c>
      <c r="D37">
        <v>-1.61E-2</v>
      </c>
      <c r="E37">
        <v>1.6399999999999998E-2</v>
      </c>
      <c r="F37">
        <v>-1.52E-2</v>
      </c>
    </row>
    <row r="38" spans="1:6">
      <c r="A38">
        <v>196606</v>
      </c>
      <c r="B38">
        <v>-1.06E-2</v>
      </c>
      <c r="C38">
        <v>1.3700000000000002E-2</v>
      </c>
      <c r="D38">
        <v>4.8999999999999998E-3</v>
      </c>
      <c r="E38">
        <v>1.5E-3</v>
      </c>
      <c r="F38">
        <v>7.8000000000000005E-3</v>
      </c>
    </row>
    <row r="39" spans="1:6">
      <c r="A39">
        <v>196607</v>
      </c>
      <c r="B39">
        <v>-1.2799999999999999E-2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-3.1400000000000004E-2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-1.1399999999999999E-2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-1.3200000000000002E-2</v>
      </c>
      <c r="E44">
        <v>6.4000000000000003E-3</v>
      </c>
      <c r="F44">
        <v>-4.5000000000000005E-3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-2.1800000000000003E-2</v>
      </c>
      <c r="E46">
        <v>2.0499999999999997E-2</v>
      </c>
      <c r="F46">
        <v>-9.5999999999999992E-3</v>
      </c>
    </row>
    <row r="47" spans="1:6">
      <c r="A47">
        <v>196703</v>
      </c>
      <c r="B47">
        <v>4.3800000000000006E-2</v>
      </c>
      <c r="C47">
        <v>1.7299999999999999E-2</v>
      </c>
      <c r="D47">
        <v>5.4000000000000003E-3</v>
      </c>
      <c r="E47">
        <v>9.7999999999999997E-3</v>
      </c>
      <c r="F47">
        <v>-1.4499999999999999E-2</v>
      </c>
    </row>
    <row r="48" spans="1:6">
      <c r="A48">
        <v>196704</v>
      </c>
      <c r="B48">
        <v>4.2100000000000005E-2</v>
      </c>
      <c r="C48">
        <v>4.1999999999999997E-3</v>
      </c>
      <c r="D48">
        <v>-2.4500000000000001E-2</v>
      </c>
      <c r="E48">
        <v>2.3799999999999998E-2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2.6800000000000004E-2</v>
      </c>
      <c r="C50">
        <v>6.4100000000000004E-2</v>
      </c>
      <c r="D50">
        <v>8.5000000000000006E-3</v>
      </c>
      <c r="E50">
        <v>-6.4000000000000003E-3</v>
      </c>
      <c r="F50">
        <v>-2.4100000000000003E-2</v>
      </c>
    </row>
    <row r="51" spans="1:6">
      <c r="A51">
        <v>196707</v>
      </c>
      <c r="B51">
        <v>4.8899999999999999E-2</v>
      </c>
      <c r="C51">
        <v>3.5200000000000002E-2</v>
      </c>
      <c r="D51">
        <v>2.7200000000000002E-2</v>
      </c>
      <c r="E51">
        <v>5.2000000000000006E-3</v>
      </c>
      <c r="F51">
        <v>2.7000000000000003E-2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1.4499999999999999E-2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1.0700000000000001E-2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1.3500000000000002E-2</v>
      </c>
      <c r="F55">
        <v>-2.3400000000000001E-2</v>
      </c>
    </row>
    <row r="56" spans="1:6">
      <c r="A56">
        <v>196712</v>
      </c>
      <c r="B56">
        <v>3.3799999999999997E-2</v>
      </c>
      <c r="C56">
        <v>5.7800000000000004E-2</v>
      </c>
      <c r="D56">
        <v>-6.3E-3</v>
      </c>
      <c r="E56">
        <v>-8.199999999999999E-3</v>
      </c>
      <c r="F56">
        <v>1.3000000000000002E-3</v>
      </c>
    </row>
    <row r="57" spans="1:6">
      <c r="A57">
        <v>196801</v>
      </c>
      <c r="B57">
        <v>-3.6599999999999994E-2</v>
      </c>
      <c r="C57">
        <v>4.4800000000000006E-2</v>
      </c>
      <c r="D57">
        <v>4.8399999999999999E-2</v>
      </c>
      <c r="E57">
        <v>-4.5899999999999996E-2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1.3300000000000001E-2</v>
      </c>
      <c r="E58">
        <v>-1.4000000000000002E-3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-1.1000000000000001E-2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2.7000000000000003E-2</v>
      </c>
      <c r="F60">
        <v>-3.6499999999999998E-2</v>
      </c>
    </row>
    <row r="61" spans="1:6">
      <c r="A61">
        <v>196805</v>
      </c>
      <c r="B61">
        <v>2.7299999999999998E-2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-2.2400000000000003E-2</v>
      </c>
      <c r="C63">
        <v>-1.4199999999999999E-2</v>
      </c>
      <c r="D63">
        <v>5.3899999999999997E-2</v>
      </c>
      <c r="E63">
        <v>-3.1400000000000004E-2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4.5000000000000005E-3</v>
      </c>
    </row>
    <row r="65" spans="1:6">
      <c r="A65">
        <v>196809</v>
      </c>
      <c r="B65">
        <v>4.4600000000000001E-2</v>
      </c>
      <c r="C65">
        <v>2.8399999999999998E-2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-1.3200000000000002E-2</v>
      </c>
      <c r="F66">
        <v>2.53E-2</v>
      </c>
    </row>
    <row r="67" spans="1:6">
      <c r="A67">
        <v>196811</v>
      </c>
      <c r="B67">
        <v>5.8500000000000003E-2</v>
      </c>
      <c r="C67">
        <v>2.4100000000000003E-2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-1.8600000000000002E-2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-4.5000000000000005E-3</v>
      </c>
      <c r="D69">
        <v>1.6799999999999999E-2</v>
      </c>
      <c r="E69">
        <v>-1.5500000000000002E-2</v>
      </c>
      <c r="F69">
        <v>1.3700000000000002E-2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7.8000000000000005E-3</v>
      </c>
    </row>
    <row r="71" spans="1:6">
      <c r="A71">
        <v>196903</v>
      </c>
      <c r="B71">
        <v>3.1000000000000003E-2</v>
      </c>
      <c r="C71">
        <v>-4.1999999999999997E-3</v>
      </c>
      <c r="D71">
        <v>-5.2000000000000006E-3</v>
      </c>
      <c r="E71">
        <v>-1.4199999999999999E-2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4.0999999999999995E-3</v>
      </c>
      <c r="F72">
        <v>2.3E-3</v>
      </c>
    </row>
    <row r="73" spans="1:6">
      <c r="A73">
        <v>196905</v>
      </c>
      <c r="B73">
        <v>3.7999999999999996E-3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-1.0900000000000002E-2</v>
      </c>
      <c r="E74">
        <v>4.3200000000000002E-2</v>
      </c>
      <c r="F74">
        <v>-1.5300000000000001E-2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1.4499999999999999E-2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-3.7700000000000004E-2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-3.1000000000000003E-2</v>
      </c>
      <c r="E78">
        <v>1.1999999999999999E-3</v>
      </c>
      <c r="F78">
        <v>-2.1400000000000002E-2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1.4499999999999999E-2</v>
      </c>
      <c r="F79">
        <v>2.8000000000000004E-3</v>
      </c>
    </row>
    <row r="80" spans="1:6">
      <c r="A80">
        <v>196912</v>
      </c>
      <c r="B80">
        <v>-1.9900000000000001E-2</v>
      </c>
      <c r="C80">
        <v>-3.7700000000000004E-2</v>
      </c>
      <c r="D80">
        <v>-2.8399999999999998E-2</v>
      </c>
      <c r="E80">
        <v>2.5400000000000002E-2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3.1200000000000002E-2</v>
      </c>
      <c r="E81">
        <v>-1.7100000000000001E-2</v>
      </c>
      <c r="F81">
        <v>3.85E-2</v>
      </c>
    </row>
    <row r="82" spans="1:6">
      <c r="A82">
        <v>197002</v>
      </c>
      <c r="B82">
        <v>5.7499999999999996E-2</v>
      </c>
      <c r="C82">
        <v>-2.7400000000000004E-2</v>
      </c>
      <c r="D82">
        <v>3.9300000000000002E-2</v>
      </c>
      <c r="E82">
        <v>-2.3199999999999998E-2</v>
      </c>
      <c r="F82">
        <v>2.7400000000000004E-2</v>
      </c>
    </row>
    <row r="83" spans="1:6">
      <c r="A83">
        <v>197003</v>
      </c>
      <c r="B83">
        <v>-4.9000000000000007E-3</v>
      </c>
      <c r="C83">
        <v>-2.4E-2</v>
      </c>
      <c r="D83">
        <v>3.9900000000000005E-2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-4.4500000000000005E-2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1.3000000000000002E-3</v>
      </c>
      <c r="F86">
        <v>2.9700000000000004E-2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1.5300000000000001E-2</v>
      </c>
      <c r="D88">
        <v>1.2700000000000001E-2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-1.8199999999999997E-2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1.5600000000000001E-2</v>
      </c>
      <c r="F91">
        <v>1.4800000000000001E-2</v>
      </c>
    </row>
    <row r="92" spans="1:6">
      <c r="A92">
        <v>197012</v>
      </c>
      <c r="B92">
        <v>6.1400000000000003E-2</v>
      </c>
      <c r="C92">
        <v>2.9300000000000003E-2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5.2199999999999996E-2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-1.2700000000000001E-2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-2.7000000000000003E-2</v>
      </c>
    </row>
    <row r="96" spans="1:6">
      <c r="A96">
        <v>197104</v>
      </c>
      <c r="B96">
        <v>3.4299999999999997E-2</v>
      </c>
      <c r="C96">
        <v>-3.4999999999999996E-3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1.5500000000000002E-2</v>
      </c>
      <c r="F98">
        <v>-1.6500000000000001E-2</v>
      </c>
    </row>
    <row r="99" spans="1:6">
      <c r="A99">
        <v>197107</v>
      </c>
      <c r="B99">
        <v>-4.0999999999999995E-2</v>
      </c>
      <c r="C99">
        <v>-1.4199999999999999E-2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4.2600000000000006E-2</v>
      </c>
      <c r="C100">
        <v>-1.5E-3</v>
      </c>
      <c r="D100">
        <v>2.6400000000000003E-2</v>
      </c>
      <c r="E100">
        <v>-4.5000000000000005E-3</v>
      </c>
      <c r="F100">
        <v>2.63E-2</v>
      </c>
    </row>
    <row r="101" spans="1:6">
      <c r="A101">
        <v>197109</v>
      </c>
      <c r="B101">
        <v>-4.8000000000000004E-3</v>
      </c>
      <c r="C101">
        <v>2.8000000000000004E-3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-2.8700000000000003E-2</v>
      </c>
      <c r="D103">
        <v>-1.7000000000000001E-2</v>
      </c>
      <c r="E103">
        <v>2.4100000000000003E-2</v>
      </c>
      <c r="F103">
        <v>-3.3000000000000004E-3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-4.0999999999999995E-3</v>
      </c>
      <c r="E104">
        <v>-3.9000000000000003E-3</v>
      </c>
      <c r="F104">
        <v>-1.7299999999999999E-2</v>
      </c>
    </row>
    <row r="105" spans="1:6">
      <c r="A105">
        <v>197201</v>
      </c>
      <c r="B105">
        <v>2.7800000000000002E-2</v>
      </c>
      <c r="C105">
        <v>6.1200000000000004E-2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3.1200000000000002E-2</v>
      </c>
      <c r="C106">
        <v>8.8999999999999999E-3</v>
      </c>
      <c r="D106">
        <v>-2.7700000000000002E-2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-4.5000000000000005E-3</v>
      </c>
      <c r="F108">
        <v>-0.01</v>
      </c>
    </row>
    <row r="109" spans="1:6">
      <c r="A109">
        <v>197205</v>
      </c>
      <c r="B109">
        <v>1.55E-2</v>
      </c>
      <c r="C109">
        <v>-3.1200000000000002E-2</v>
      </c>
      <c r="D109">
        <v>-2.7200000000000002E-2</v>
      </c>
      <c r="E109">
        <v>2.3799999999999998E-2</v>
      </c>
      <c r="F109">
        <v>-1.9199999999999998E-2</v>
      </c>
    </row>
    <row r="110" spans="1:6">
      <c r="A110">
        <v>197206</v>
      </c>
      <c r="B110">
        <v>-2.1400000000000002E-2</v>
      </c>
      <c r="C110">
        <v>-4.7000000000000002E-3</v>
      </c>
      <c r="D110">
        <v>-2.4900000000000002E-2</v>
      </c>
      <c r="E110">
        <v>1.8100000000000002E-2</v>
      </c>
      <c r="F110">
        <v>-3.4000000000000002E-3</v>
      </c>
    </row>
    <row r="111" spans="1:6">
      <c r="A111">
        <v>197207</v>
      </c>
      <c r="B111">
        <v>-4.8999999999999998E-3</v>
      </c>
      <c r="C111">
        <v>-2.7700000000000002E-2</v>
      </c>
      <c r="D111">
        <v>6.6000000000000008E-3</v>
      </c>
      <c r="E111">
        <v>1.1399999999999999E-2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-2.5400000000000002E-2</v>
      </c>
      <c r="D114">
        <v>1.3500000000000002E-2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-2.8499999999999998E-2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-4.4399999999999995E-2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-1.0400000000000001E-2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-2.9500000000000002E-2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4.0999999999999995E-3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-1.0600000000000002E-2</v>
      </c>
      <c r="C122">
        <v>-2.5099999999999997E-2</v>
      </c>
      <c r="D122">
        <v>1.1899999999999999E-2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2.2400000000000003E-2</v>
      </c>
      <c r="E125">
        <v>-2.3E-2</v>
      </c>
      <c r="F125">
        <v>1.7500000000000002E-2</v>
      </c>
    </row>
    <row r="126" spans="1:6">
      <c r="A126">
        <v>197310</v>
      </c>
      <c r="B126">
        <v>-1.7999999999999995E-3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-0.12190000000000001</v>
      </c>
      <c r="C127">
        <v>-7.2700000000000001E-2</v>
      </c>
      <c r="D127">
        <v>3.9900000000000005E-2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2.4100000000000003E-2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4.4800000000000006E-2</v>
      </c>
    </row>
    <row r="130" spans="1:6">
      <c r="A130">
        <v>197402</v>
      </c>
      <c r="B130">
        <v>1.0999999999999994E-3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2.6099999999999998E-2</v>
      </c>
      <c r="D131">
        <v>-1.1999999999999999E-3</v>
      </c>
      <c r="E131">
        <v>2.7900000000000001E-2</v>
      </c>
      <c r="F131">
        <v>4.5000000000000005E-3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2.0800000000000003E-2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2.8999999999999998E-2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2.6000000000000003E-3</v>
      </c>
      <c r="D136">
        <v>2.6400000000000003E-2</v>
      </c>
      <c r="E136">
        <v>-2.8000000000000004E-3</v>
      </c>
      <c r="F136">
        <v>2.6000000000000002E-2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-2.8700000000000003E-2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-2.7500000000000004E-2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5.9899999999999995E-2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3.9900000000000005E-2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4.6700000000000005E-2</v>
      </c>
      <c r="C144">
        <v>-7.1999999999999998E-3</v>
      </c>
      <c r="D144">
        <v>-1.1299999999999999E-2</v>
      </c>
      <c r="E144">
        <v>1.4199999999999999E-2</v>
      </c>
      <c r="F144">
        <v>-1.3500000000000002E-2</v>
      </c>
    </row>
    <row r="145" spans="1:6">
      <c r="A145">
        <v>197505</v>
      </c>
      <c r="B145">
        <v>5.6300000000000003E-2</v>
      </c>
      <c r="C145">
        <v>2.8900000000000002E-2</v>
      </c>
      <c r="D145">
        <v>-4.0999999999999995E-2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1.4199999999999999E-2</v>
      </c>
      <c r="D146">
        <v>1.3999999999999999E-2</v>
      </c>
      <c r="E146">
        <v>-2.6600000000000002E-2</v>
      </c>
      <c r="F146">
        <v>1.1000000000000001E-2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-2.3700000000000002E-2</v>
      </c>
      <c r="C148">
        <v>-2.8399999999999998E-2</v>
      </c>
      <c r="D148">
        <v>-9.4000000000000004E-3</v>
      </c>
      <c r="E148">
        <v>1.1200000000000002E-2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5.5000000000000005E-3</v>
      </c>
    </row>
    <row r="150" spans="1:6">
      <c r="A150">
        <v>197510</v>
      </c>
      <c r="B150">
        <v>5.8699999999999995E-2</v>
      </c>
      <c r="C150">
        <v>-4.2200000000000001E-2</v>
      </c>
      <c r="D150">
        <v>2.7000000000000001E-3</v>
      </c>
      <c r="E150">
        <v>-4.7999999999999996E-3</v>
      </c>
      <c r="F150">
        <v>2.2000000000000002E-2</v>
      </c>
    </row>
    <row r="151" spans="1:6">
      <c r="A151">
        <v>197511</v>
      </c>
      <c r="B151">
        <v>3.0500000000000003E-2</v>
      </c>
      <c r="C151">
        <v>-1.1000000000000001E-2</v>
      </c>
      <c r="D151">
        <v>2.0499999999999997E-2</v>
      </c>
      <c r="E151">
        <v>-6.8000000000000005E-3</v>
      </c>
      <c r="F151">
        <v>1.78E-2</v>
      </c>
    </row>
    <row r="152" spans="1:6">
      <c r="A152">
        <v>197512</v>
      </c>
      <c r="B152">
        <v>-1.1200000000000002E-2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-2.6000000000000002E-2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-3.3000000000000004E-3</v>
      </c>
      <c r="F155">
        <v>9.4000000000000004E-3</v>
      </c>
    </row>
    <row r="156" spans="1:6">
      <c r="A156">
        <v>197604</v>
      </c>
      <c r="B156">
        <v>-1.0700000000000001E-2</v>
      </c>
      <c r="C156">
        <v>8.0000000000000004E-4</v>
      </c>
      <c r="D156">
        <v>-1.4000000000000002E-3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-1.1000000000000001E-2</v>
      </c>
      <c r="D157">
        <v>-1.3500000000000002E-2</v>
      </c>
      <c r="E157">
        <v>2.4500000000000001E-2</v>
      </c>
      <c r="F157">
        <v>-1.3999999999999999E-2</v>
      </c>
    </row>
    <row r="158" spans="1:6">
      <c r="A158">
        <v>197606</v>
      </c>
      <c r="B158">
        <v>4.48E-2</v>
      </c>
      <c r="C158">
        <v>-1.0700000000000001E-2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2.8000000000000004E-3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-4.0999999999999995E-3</v>
      </c>
      <c r="F160">
        <v>-5.5000000000000005E-3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1.3000000000000002E-3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2.6600000000000002E-2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2.2799999999999997E-2</v>
      </c>
    </row>
    <row r="165" spans="1:6">
      <c r="A165">
        <v>197701</v>
      </c>
      <c r="B165">
        <v>-3.6900000000000002E-2</v>
      </c>
      <c r="C165">
        <v>5.9000000000000004E-2</v>
      </c>
      <c r="D165">
        <v>4.2699999999999995E-2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1.0700000000000001E-2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1.0900000000000002E-2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1.1399999999999999E-2</v>
      </c>
    </row>
    <row r="169" spans="1:6">
      <c r="A169">
        <v>197705</v>
      </c>
      <c r="B169">
        <v>-1.0799999999999999E-2</v>
      </c>
      <c r="C169">
        <v>1.3100000000000001E-2</v>
      </c>
      <c r="D169">
        <v>8.5000000000000006E-3</v>
      </c>
      <c r="E169">
        <v>3.3000000000000004E-3</v>
      </c>
      <c r="F169">
        <v>1.9E-3</v>
      </c>
    </row>
    <row r="170" spans="1:6">
      <c r="A170">
        <v>197706</v>
      </c>
      <c r="B170">
        <v>5.1100000000000007E-2</v>
      </c>
      <c r="C170">
        <v>2.0800000000000003E-2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1.5999999999999999E-3</v>
      </c>
      <c r="C173">
        <v>1.43E-2</v>
      </c>
      <c r="D173">
        <v>-4.5999999999999999E-3</v>
      </c>
      <c r="E173">
        <v>1.4499999999999999E-2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-1.3000000000000002E-3</v>
      </c>
      <c r="F175">
        <v>7.0999999999999995E-3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2.7200000000000002E-2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3.7000000000000005E-2</v>
      </c>
      <c r="D178">
        <v>8.3000000000000001E-3</v>
      </c>
      <c r="E178">
        <v>3.3000000000000004E-3</v>
      </c>
      <c r="F178">
        <v>1.0400000000000001E-2</v>
      </c>
    </row>
    <row r="179" spans="1:6">
      <c r="A179">
        <v>197803</v>
      </c>
      <c r="B179">
        <v>3.3800000000000004E-2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2.8300000000000002E-2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-1.1499999999999998E-2</v>
      </c>
      <c r="C182">
        <v>1.5600000000000001E-2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1.3000000000000002E-3</v>
      </c>
      <c r="D183">
        <v>-1.11E-2</v>
      </c>
      <c r="E183">
        <v>1.5500000000000002E-2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1.8600000000000002E-2</v>
      </c>
      <c r="E185">
        <v>-6.5000000000000006E-3</v>
      </c>
      <c r="F185">
        <v>1.8000000000000002E-2</v>
      </c>
    </row>
    <row r="186" spans="1:6">
      <c r="A186">
        <v>197810</v>
      </c>
      <c r="B186">
        <v>-0.1123</v>
      </c>
      <c r="C186">
        <v>-0.10070000000000001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-2.1400000000000002E-2</v>
      </c>
      <c r="E187">
        <v>1.11E-2</v>
      </c>
      <c r="F187">
        <v>-1.1899999999999999E-2</v>
      </c>
    </row>
    <row r="188" spans="1:6">
      <c r="A188">
        <v>197812</v>
      </c>
      <c r="B188">
        <v>1.66E-2</v>
      </c>
      <c r="C188">
        <v>1.1200000000000002E-2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2.2000000000000002E-2</v>
      </c>
      <c r="E189">
        <v>-2.4900000000000002E-2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1.1399999999999999E-2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2.8000000000000004E-3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-1.3900000000000003E-2</v>
      </c>
      <c r="C193">
        <v>1.7000000000000001E-3</v>
      </c>
      <c r="D193">
        <v>1.3200000000000002E-2</v>
      </c>
      <c r="E193">
        <v>-1.5500000000000002E-2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1.5899999999999997E-2</v>
      </c>
      <c r="C195">
        <v>1.2700000000000001E-2</v>
      </c>
      <c r="D195">
        <v>1.8600000000000002E-2</v>
      </c>
      <c r="E195">
        <v>-2.8000000000000004E-3</v>
      </c>
      <c r="F195">
        <v>7.0999999999999995E-3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1.0000000000000113E-4</v>
      </c>
      <c r="C197">
        <v>-3.3000000000000004E-3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-1.8600000000000002E-2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-3.2799999999999996E-2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2.7000000000000003E-2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1.4499999999999999E-2</v>
      </c>
      <c r="F203">
        <v>-1.1599999999999999E-2</v>
      </c>
    </row>
    <row r="204" spans="1:6">
      <c r="A204">
        <v>198004</v>
      </c>
      <c r="B204">
        <v>5.2300000000000006E-2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6.0700000000000004E-2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1.4199999999999999E-2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-2.3799999999999998E-2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-2.6099999999999998E-2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-2.7700000000000002E-2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-3.3100000000000004E-2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3.0299999999999997E-2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4.5899999999999996E-2</v>
      </c>
      <c r="D216">
        <v>2.2799999999999997E-2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-1.0099999999999998E-2</v>
      </c>
      <c r="C218">
        <v>-9.4999999999999998E-3</v>
      </c>
      <c r="D218">
        <v>5.1299999999999998E-2</v>
      </c>
      <c r="E218">
        <v>-1.3700000000000002E-2</v>
      </c>
      <c r="F218">
        <v>2.69E-2</v>
      </c>
    </row>
    <row r="219" spans="1:6">
      <c r="A219">
        <v>198107</v>
      </c>
      <c r="B219">
        <v>-3.0000000000000009E-3</v>
      </c>
      <c r="C219">
        <v>-2.0499999999999997E-2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-5.7600000000000005E-2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2.6099999999999998E-2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3.1400000000000004E-2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1.8500000000000003E-2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-2.4400000000000005E-2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-4.9400000000000006E-2</v>
      </c>
      <c r="C226">
        <v>3.4999999999999996E-3</v>
      </c>
      <c r="D226">
        <v>6.0499999999999998E-2</v>
      </c>
      <c r="E226">
        <v>-3.4300000000000004E-2</v>
      </c>
      <c r="F226">
        <v>4.5599999999999995E-2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2.4900000000000002E-2</v>
      </c>
    </row>
    <row r="228" spans="1:6">
      <c r="A228">
        <v>198204</v>
      </c>
      <c r="B228">
        <v>4.3999999999999997E-2</v>
      </c>
      <c r="C228">
        <v>1.0900000000000002E-2</v>
      </c>
      <c r="D228">
        <v>-2.7000000000000003E-2</v>
      </c>
      <c r="E228">
        <v>1.5600000000000001E-2</v>
      </c>
      <c r="F228">
        <v>-2.0000000000000001E-4</v>
      </c>
    </row>
    <row r="229" spans="1:6">
      <c r="A229">
        <v>198205</v>
      </c>
      <c r="B229">
        <v>-2.9300000000000007E-2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1.5500000000000002E-2</v>
      </c>
      <c r="E230">
        <v>1E-4</v>
      </c>
      <c r="F230">
        <v>2.7000000000000003E-2</v>
      </c>
    </row>
    <row r="231" spans="1:6">
      <c r="A231">
        <v>198207</v>
      </c>
      <c r="B231">
        <v>-2.1399999999999995E-2</v>
      </c>
      <c r="C231">
        <v>9.4999999999999998E-3</v>
      </c>
      <c r="D231">
        <v>8.9999999999999998E-4</v>
      </c>
      <c r="E231">
        <v>1.0400000000000001E-2</v>
      </c>
      <c r="F231">
        <v>1.54E-2</v>
      </c>
    </row>
    <row r="232" spans="1:6">
      <c r="A232">
        <v>198208</v>
      </c>
      <c r="B232">
        <v>0.11900000000000001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1.8000000000000002E-2</v>
      </c>
      <c r="C233">
        <v>2.6200000000000001E-2</v>
      </c>
      <c r="D233">
        <v>2.7000000000000001E-3</v>
      </c>
      <c r="E233">
        <v>2.1400000000000002E-2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-3.4000000000000002E-3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-1.8500000000000003E-2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-7.0999999999999995E-3</v>
      </c>
      <c r="E237">
        <v>-1.5500000000000002E-2</v>
      </c>
      <c r="F237">
        <v>-5.5000000000000005E-3</v>
      </c>
    </row>
    <row r="238" spans="1:6">
      <c r="A238">
        <v>198302</v>
      </c>
      <c r="B238">
        <v>3.2099999999999997E-2</v>
      </c>
      <c r="C238">
        <v>2.9300000000000003E-2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-1.7000000000000001E-3</v>
      </c>
      <c r="F239">
        <v>2.7400000000000004E-2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-1.4199999999999999E-2</v>
      </c>
      <c r="E241">
        <v>-1.84E-2</v>
      </c>
      <c r="F241">
        <v>-1.54E-2</v>
      </c>
    </row>
    <row r="242" spans="1:6">
      <c r="A242">
        <v>198306</v>
      </c>
      <c r="B242">
        <v>3.7399999999999996E-2</v>
      </c>
      <c r="C242">
        <v>1.1899999999999999E-2</v>
      </c>
      <c r="D242">
        <v>-3.9100000000000003E-2</v>
      </c>
      <c r="E242">
        <v>2.6000000000000002E-2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5.5400000000000005E-2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-1.0499999999999999E-2</v>
      </c>
      <c r="C248">
        <v>-4.5000000000000005E-3</v>
      </c>
      <c r="D248">
        <v>1.7000000000000001E-2</v>
      </c>
      <c r="E248">
        <v>1.6E-2</v>
      </c>
      <c r="F248">
        <v>1.2700000000000001E-2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-4.1100000000000005E-2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1.3600000000000001E-2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1.1899999999999999E-2</v>
      </c>
      <c r="E252">
        <v>3.3799999999999997E-2</v>
      </c>
      <c r="F252">
        <v>7.6E-3</v>
      </c>
    </row>
    <row r="253" spans="1:6">
      <c r="A253">
        <v>198405</v>
      </c>
      <c r="B253">
        <v>-5.1899999999999995E-2</v>
      </c>
      <c r="C253">
        <v>1.4000000000000002E-3</v>
      </c>
      <c r="D253">
        <v>2.8999999999999998E-3</v>
      </c>
      <c r="E253">
        <v>2.2000000000000002E-2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-2.6600000000000002E-2</v>
      </c>
      <c r="E254">
        <v>3.1300000000000001E-2</v>
      </c>
      <c r="F254">
        <v>-1.5600000000000001E-2</v>
      </c>
    </row>
    <row r="255" spans="1:6">
      <c r="A255">
        <v>198407</v>
      </c>
      <c r="B255">
        <v>-1.9200000000000005E-2</v>
      </c>
      <c r="C255">
        <v>-2.2200000000000001E-2</v>
      </c>
      <c r="D255">
        <v>3.3000000000000004E-3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-2.6000000000000003E-3</v>
      </c>
      <c r="D256">
        <v>-1.8000000000000002E-2</v>
      </c>
      <c r="E256">
        <v>-6.8000000000000005E-3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5.2300000000000006E-2</v>
      </c>
      <c r="E257">
        <v>1.3700000000000002E-2</v>
      </c>
      <c r="F257">
        <v>2.4100000000000003E-2</v>
      </c>
    </row>
    <row r="258" spans="1:6">
      <c r="A258">
        <v>198410</v>
      </c>
      <c r="B258">
        <v>1.6000000000000007E-3</v>
      </c>
      <c r="C258">
        <v>-1.44E-2</v>
      </c>
      <c r="D258">
        <v>4.7000000000000002E-3</v>
      </c>
      <c r="E258">
        <v>1.18E-2</v>
      </c>
      <c r="F258">
        <v>-1.0900000000000002E-2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-1.3600000000000001E-2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-3.4100000000000005E-2</v>
      </c>
    </row>
    <row r="262" spans="1:6">
      <c r="A262">
        <v>198502</v>
      </c>
      <c r="B262">
        <v>1.8000000000000002E-2</v>
      </c>
      <c r="C262">
        <v>1.0400000000000001E-2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-2.1999999999999997E-3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-2.3999999999999994E-3</v>
      </c>
      <c r="C264">
        <v>-1E-3</v>
      </c>
      <c r="D264">
        <v>3.7200000000000004E-2</v>
      </c>
      <c r="E264">
        <v>1.5500000000000002E-2</v>
      </c>
      <c r="F264">
        <v>7.0999999999999995E-3</v>
      </c>
    </row>
    <row r="265" spans="1:6">
      <c r="A265">
        <v>198505</v>
      </c>
      <c r="B265">
        <v>5.7500000000000002E-2</v>
      </c>
      <c r="C265">
        <v>-2.3100000000000002E-2</v>
      </c>
      <c r="D265">
        <v>-9.4000000000000004E-3</v>
      </c>
      <c r="E265">
        <v>1.3300000000000001E-2</v>
      </c>
      <c r="F265">
        <v>-1.49E-2</v>
      </c>
    </row>
    <row r="266" spans="1:6">
      <c r="A266">
        <v>198506</v>
      </c>
      <c r="B266">
        <v>1.8200000000000001E-2</v>
      </c>
      <c r="C266">
        <v>3.4999999999999996E-3</v>
      </c>
      <c r="D266">
        <v>4.0999999999999995E-3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-1.2000000000000005E-3</v>
      </c>
      <c r="C267">
        <v>2.8700000000000003E-2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2.2799999999999997E-2</v>
      </c>
      <c r="E268">
        <v>-7.000000000000001E-4</v>
      </c>
      <c r="F268">
        <v>1.84E-2</v>
      </c>
    </row>
    <row r="269" spans="1:6">
      <c r="A269">
        <v>198509</v>
      </c>
      <c r="B269">
        <v>-3.9400000000000004E-2</v>
      </c>
      <c r="C269">
        <v>-1.8000000000000002E-2</v>
      </c>
      <c r="D269">
        <v>1.29E-2</v>
      </c>
      <c r="E269">
        <v>1.0900000000000002E-2</v>
      </c>
      <c r="F269">
        <v>1.6200000000000003E-2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-2.8399999999999998E-2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1.2100000000000001E-2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-7.0999999999999995E-3</v>
      </c>
      <c r="D274">
        <v>-7.7000000000000002E-3</v>
      </c>
      <c r="E274">
        <v>1.0900000000000002E-2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2.8900000000000002E-2</v>
      </c>
      <c r="F276">
        <v>-5.9999999999999995E-4</v>
      </c>
    </row>
    <row r="277" spans="1:6">
      <c r="A277">
        <v>198605</v>
      </c>
      <c r="B277">
        <v>5.1100000000000007E-2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1.3000000000000001E-2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-4.5000000000000005E-3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2.0499999999999997E-2</v>
      </c>
      <c r="D281">
        <v>3.2199999999999999E-2</v>
      </c>
      <c r="E281">
        <v>-1E-3</v>
      </c>
      <c r="F281">
        <v>3.7200000000000004E-2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-1.4199999999999999E-2</v>
      </c>
      <c r="E282">
        <v>-5.0000000000000001E-4</v>
      </c>
      <c r="F282">
        <v>0.01</v>
      </c>
    </row>
    <row r="283" spans="1:6">
      <c r="A283">
        <v>198611</v>
      </c>
      <c r="B283">
        <v>1.5600000000000001E-2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0.12890000000000001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2.1099999999999997E-2</v>
      </c>
      <c r="C287">
        <v>2.7000000000000001E-3</v>
      </c>
      <c r="D287">
        <v>1.61E-2</v>
      </c>
      <c r="E287">
        <v>1.3500000000000002E-2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-3.9000000000000003E-3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4.4199999999999996E-2</v>
      </c>
      <c r="C290">
        <v>-2.2100000000000002E-2</v>
      </c>
      <c r="D290">
        <v>1.0400000000000001E-2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-1.1200000000000002E-2</v>
      </c>
      <c r="D291">
        <v>7.3000000000000001E-3</v>
      </c>
      <c r="E291">
        <v>-6.1000000000000004E-3</v>
      </c>
      <c r="F291">
        <v>1.6399999999999998E-2</v>
      </c>
    </row>
    <row r="292" spans="1:6">
      <c r="A292">
        <v>198708</v>
      </c>
      <c r="B292">
        <v>3.9900000000000005E-2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4.2300000000000004E-2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2.8700000000000003E-2</v>
      </c>
      <c r="D295">
        <v>2.9600000000000001E-2</v>
      </c>
      <c r="E295">
        <v>-1.8800000000000001E-2</v>
      </c>
      <c r="F295">
        <v>6.8000000000000005E-3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-4.3899999999999995E-2</v>
      </c>
      <c r="E296">
        <v>2.9500000000000002E-2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2.2000000000000002E-2</v>
      </c>
    </row>
    <row r="298" spans="1:6">
      <c r="A298">
        <v>198802</v>
      </c>
      <c r="B298">
        <v>5.21E-2</v>
      </c>
      <c r="C298">
        <v>3.3100000000000004E-2</v>
      </c>
      <c r="D298">
        <v>-1.6899999999999998E-2</v>
      </c>
      <c r="E298">
        <v>1.5500000000000002E-2</v>
      </c>
      <c r="F298">
        <v>0</v>
      </c>
    </row>
    <row r="299" spans="1:6">
      <c r="A299">
        <v>198803</v>
      </c>
      <c r="B299">
        <v>-1.83E-2</v>
      </c>
      <c r="C299">
        <v>6.2400000000000004E-2</v>
      </c>
      <c r="D299">
        <v>7.4000000000000003E-3</v>
      </c>
      <c r="E299">
        <v>-2.6000000000000003E-3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2.2000000000000006E-3</v>
      </c>
      <c r="C301">
        <v>-2.5700000000000001E-2</v>
      </c>
      <c r="D301">
        <v>2.4199999999999999E-2</v>
      </c>
      <c r="E301">
        <v>-7.4000000000000003E-3</v>
      </c>
      <c r="F301">
        <v>3.3000000000000004E-3</v>
      </c>
    </row>
    <row r="302" spans="1:6">
      <c r="A302">
        <v>198806</v>
      </c>
      <c r="B302">
        <v>5.28E-2</v>
      </c>
      <c r="C302">
        <v>2.1400000000000002E-2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-2.7200000000000005E-2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-1.3500000000000002E-2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-2.9500000000000002E-2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1.3000000000000001E-2</v>
      </c>
      <c r="E307">
        <v>-2.8000000000000004E-3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-2.3100000000000002E-2</v>
      </c>
      <c r="D309">
        <v>6.1999999999999998E-3</v>
      </c>
      <c r="E309">
        <v>-9.4999999999999998E-3</v>
      </c>
      <c r="F309">
        <v>1.4000000000000002E-3</v>
      </c>
    </row>
    <row r="310" spans="1:6">
      <c r="A310">
        <v>198902</v>
      </c>
      <c r="B310">
        <v>-1.6399999999999998E-2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2.2400000000000003E-2</v>
      </c>
      <c r="C311">
        <v>6.8000000000000005E-3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4.9999999999999996E-2</v>
      </c>
      <c r="C312">
        <v>-7.8000000000000005E-3</v>
      </c>
      <c r="D312">
        <v>-1.3999999999999999E-2</v>
      </c>
      <c r="E312">
        <v>7.0999999999999995E-3</v>
      </c>
      <c r="F312">
        <v>-5.6999999999999993E-3</v>
      </c>
    </row>
    <row r="313" spans="1:6">
      <c r="A313">
        <v>198905</v>
      </c>
      <c r="B313">
        <v>4.1400000000000006E-2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-1.0900000000000002E-2</v>
      </c>
      <c r="D314">
        <v>2.23E-2</v>
      </c>
      <c r="E314">
        <v>2.7000000000000001E-3</v>
      </c>
      <c r="F314">
        <v>1.5500000000000002E-2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3.9000000000000003E-3</v>
      </c>
      <c r="F316">
        <v>-5.6999999999999993E-3</v>
      </c>
    </row>
    <row r="317" spans="1:6">
      <c r="A317">
        <v>198909</v>
      </c>
      <c r="B317">
        <v>-1.0999999999999994E-3</v>
      </c>
      <c r="C317">
        <v>4.8999999999999998E-3</v>
      </c>
      <c r="D317">
        <v>-1.2700000000000001E-2</v>
      </c>
      <c r="E317">
        <v>1.3999999999999999E-2</v>
      </c>
      <c r="F317">
        <v>5.1000000000000004E-3</v>
      </c>
    </row>
    <row r="318" spans="1:6">
      <c r="A318">
        <v>198910</v>
      </c>
      <c r="B318">
        <v>-2.9900000000000003E-2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-1.0900000000000002E-2</v>
      </c>
      <c r="E319">
        <v>-8.6E-3</v>
      </c>
      <c r="F319">
        <v>1.3700000000000002E-2</v>
      </c>
    </row>
    <row r="320" spans="1:6">
      <c r="A320">
        <v>198912</v>
      </c>
      <c r="B320">
        <v>1.77E-2</v>
      </c>
      <c r="C320">
        <v>-2.2799999999999997E-2</v>
      </c>
      <c r="D320">
        <v>1.6000000000000001E-3</v>
      </c>
      <c r="E320">
        <v>-7.000000000000001E-4</v>
      </c>
      <c r="F320">
        <v>1.4499999999999999E-2</v>
      </c>
    </row>
    <row r="321" spans="1:6">
      <c r="A321">
        <v>199001</v>
      </c>
      <c r="B321">
        <v>-7.2800000000000004E-2</v>
      </c>
      <c r="C321">
        <v>-1.3200000000000002E-2</v>
      </c>
      <c r="D321">
        <v>8.5000000000000006E-3</v>
      </c>
      <c r="E321">
        <v>-1.18E-2</v>
      </c>
      <c r="F321">
        <v>1.3700000000000002E-2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-2.6699999999999998E-2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-2.3700000000000002E-2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-1.1000000000000001E-2</v>
      </c>
      <c r="F326">
        <v>-3.5999999999999999E-3</v>
      </c>
    </row>
    <row r="327" spans="1:6">
      <c r="A327">
        <v>199007</v>
      </c>
      <c r="B327">
        <v>-1.2199999999999999E-2</v>
      </c>
      <c r="C327">
        <v>-3.1400000000000004E-2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-3.4999999999999996E-3</v>
      </c>
      <c r="F328">
        <v>2.9900000000000003E-2</v>
      </c>
    </row>
    <row r="329" spans="1:6">
      <c r="A329">
        <v>199009</v>
      </c>
      <c r="B329">
        <v>-5.5200000000000006E-2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-1.2399999999999998E-2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-2.9700000000000004E-2</v>
      </c>
      <c r="E331">
        <v>5.0000000000000001E-3</v>
      </c>
      <c r="F331">
        <v>-4.6900000000000004E-2</v>
      </c>
    </row>
    <row r="332" spans="1:6">
      <c r="A332">
        <v>199012</v>
      </c>
      <c r="B332">
        <v>3.0600000000000002E-2</v>
      </c>
      <c r="C332">
        <v>6.4000000000000003E-3</v>
      </c>
      <c r="D332">
        <v>-1.6299999999999999E-2</v>
      </c>
      <c r="E332">
        <v>2.6400000000000003E-2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3.8900000000000004E-2</v>
      </c>
      <c r="D333">
        <v>-1.5700000000000002E-2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-1.3000000000000001E-2</v>
      </c>
      <c r="E335">
        <v>-5.0000000000000001E-3</v>
      </c>
      <c r="F335">
        <v>-1.11E-2</v>
      </c>
    </row>
    <row r="336" spans="1:6">
      <c r="A336">
        <v>199104</v>
      </c>
      <c r="B336">
        <v>2.4999999999999996E-3</v>
      </c>
      <c r="C336">
        <v>3.2000000000000002E-3</v>
      </c>
      <c r="D336">
        <v>1.4499999999999999E-2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2.0499999999999997E-2</v>
      </c>
      <c r="F337">
        <v>-2.35E-2</v>
      </c>
    </row>
    <row r="338" spans="1:6">
      <c r="A338">
        <v>199106</v>
      </c>
      <c r="B338">
        <v>-4.5200000000000004E-2</v>
      </c>
      <c r="C338">
        <v>2.6000000000000003E-3</v>
      </c>
      <c r="D338">
        <v>1.0700000000000001E-2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-1.3200000000000002E-2</v>
      </c>
      <c r="E339">
        <v>1.61E-2</v>
      </c>
      <c r="F339">
        <v>-1.3600000000000001E-2</v>
      </c>
    </row>
    <row r="340" spans="1:6">
      <c r="A340">
        <v>199108</v>
      </c>
      <c r="B340">
        <v>2.7799999999999998E-2</v>
      </c>
      <c r="C340">
        <v>1.41E-2</v>
      </c>
      <c r="D340">
        <v>-7.8000000000000005E-3</v>
      </c>
      <c r="E340">
        <v>8.5000000000000006E-3</v>
      </c>
      <c r="F340">
        <v>-3.4000000000000002E-3</v>
      </c>
    </row>
    <row r="341" spans="1:6">
      <c r="A341">
        <v>199109</v>
      </c>
      <c r="B341">
        <v>-1.1300000000000001E-2</v>
      </c>
      <c r="C341">
        <v>1.5600000000000001E-2</v>
      </c>
      <c r="D341">
        <v>-1.0700000000000001E-2</v>
      </c>
      <c r="E341">
        <v>-1.8000000000000002E-2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-3.8000000000000006E-2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-3.1200000000000002E-2</v>
      </c>
    </row>
    <row r="345" spans="1:6">
      <c r="A345">
        <v>199201</v>
      </c>
      <c r="B345">
        <v>-2.4999999999999996E-3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1.3700000000000002E-2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-2.3200000000000002E-2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1.3900000000000001E-2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5.8000000000000005E-3</v>
      </c>
      <c r="C349">
        <v>2.0999999999999999E-3</v>
      </c>
      <c r="D349">
        <v>1.1899999999999999E-2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-2.7400000000000004E-2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-5.5000000000000005E-3</v>
      </c>
      <c r="E351">
        <v>1.24E-2</v>
      </c>
      <c r="F351">
        <v>-8.8999999999999999E-3</v>
      </c>
    </row>
    <row r="352" spans="1:6">
      <c r="A352">
        <v>199208</v>
      </c>
      <c r="B352">
        <v>-2.1199999999999997E-2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1.4499999999999999E-2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-1.4199999999999999E-2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1.1600000000000001E-2</v>
      </c>
      <c r="C357">
        <v>1.89E-2</v>
      </c>
      <c r="D357">
        <v>5.9500000000000004E-2</v>
      </c>
      <c r="E357">
        <v>-1.8500000000000003E-2</v>
      </c>
      <c r="F357">
        <v>2.9399999999999999E-2</v>
      </c>
    </row>
    <row r="358" spans="1:6">
      <c r="A358">
        <v>199302</v>
      </c>
      <c r="B358">
        <v>3.4000000000000002E-3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1.1899999999999999E-2</v>
      </c>
      <c r="E359">
        <v>-1.7000000000000001E-3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-3.6000000000000004E-2</v>
      </c>
      <c r="F360">
        <v>1.44E-2</v>
      </c>
    </row>
    <row r="361" spans="1:6">
      <c r="A361">
        <v>199305</v>
      </c>
      <c r="B361">
        <v>3.1100000000000003E-2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2.7200000000000002E-2</v>
      </c>
      <c r="E362">
        <v>-9.1000000000000004E-3</v>
      </c>
      <c r="F362">
        <v>1.2E-2</v>
      </c>
    </row>
    <row r="363" spans="1:6">
      <c r="A363">
        <v>199307</v>
      </c>
      <c r="B363">
        <v>-1.0000000000000005E-3</v>
      </c>
      <c r="C363">
        <v>9.1999999999999998E-3</v>
      </c>
      <c r="D363">
        <v>2.8199999999999999E-2</v>
      </c>
      <c r="E363">
        <v>-1.8500000000000003E-2</v>
      </c>
      <c r="F363">
        <v>2.0499999999999997E-2</v>
      </c>
    </row>
    <row r="364" spans="1:6">
      <c r="A364">
        <v>199308</v>
      </c>
      <c r="B364">
        <v>3.9600000000000003E-2</v>
      </c>
      <c r="C364">
        <v>1.1000000000000001E-3</v>
      </c>
      <c r="D364">
        <v>1.4000000000000002E-3</v>
      </c>
      <c r="E364">
        <v>-1.54E-2</v>
      </c>
      <c r="F364">
        <v>-2.9999999999999997E-4</v>
      </c>
    </row>
    <row r="365" spans="1:6">
      <c r="A365">
        <v>199309</v>
      </c>
      <c r="B365">
        <v>1.4000000000000004E-3</v>
      </c>
      <c r="C365">
        <v>2.9399999999999999E-2</v>
      </c>
      <c r="D365">
        <v>-3.4999999999999996E-3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-3.4000000000000002E-3</v>
      </c>
    </row>
    <row r="369" spans="1:6">
      <c r="A369">
        <v>199401</v>
      </c>
      <c r="B369">
        <v>3.1200000000000002E-2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-2.3399999999999997E-2</v>
      </c>
      <c r="C370">
        <v>2.6700000000000002E-2</v>
      </c>
      <c r="D370">
        <v>-1.5600000000000001E-2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-1.0900000000000002E-2</v>
      </c>
      <c r="D371">
        <v>1.5500000000000002E-2</v>
      </c>
      <c r="E371">
        <v>7.0999999999999995E-3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6.8000000000000005E-3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-2.3100000000000002E-2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-3.6699999999999997E-2</v>
      </c>
      <c r="C379">
        <v>1.3000000000000002E-3</v>
      </c>
      <c r="D379">
        <v>-7.3000000000000001E-3</v>
      </c>
      <c r="E379">
        <v>4.0000000000000001E-3</v>
      </c>
      <c r="F379">
        <v>-3.9000000000000003E-3</v>
      </c>
    </row>
    <row r="380" spans="1:6">
      <c r="A380">
        <v>199412</v>
      </c>
      <c r="B380">
        <v>1.3000000000000001E-2</v>
      </c>
      <c r="C380">
        <v>-4.0000000000000002E-4</v>
      </c>
      <c r="D380">
        <v>-8.9999999999999998E-4</v>
      </c>
      <c r="E380">
        <v>3.9000000000000003E-3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2.5099999999999997E-2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1.0900000000000002E-2</v>
      </c>
      <c r="E382">
        <v>5.6000000000000008E-3</v>
      </c>
      <c r="F382">
        <v>-2.8000000000000004E-3</v>
      </c>
    </row>
    <row r="383" spans="1:6">
      <c r="A383">
        <v>199503</v>
      </c>
      <c r="B383">
        <v>2.6499999999999999E-2</v>
      </c>
      <c r="C383">
        <v>-5.3E-3</v>
      </c>
      <c r="D383">
        <v>-2.0800000000000003E-2</v>
      </c>
      <c r="E383">
        <v>-1.3000000000000002E-3</v>
      </c>
      <c r="F383">
        <v>2.3999999999999998E-3</v>
      </c>
    </row>
    <row r="384" spans="1:6">
      <c r="A384">
        <v>199504</v>
      </c>
      <c r="B384">
        <v>2.5500000000000002E-2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-2.1800000000000003E-2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3.1900000000000005E-2</v>
      </c>
      <c r="C386">
        <v>3.0299999999999997E-2</v>
      </c>
      <c r="D386">
        <v>-2.5400000000000002E-2</v>
      </c>
      <c r="E386">
        <v>-3.4999999999999996E-3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2.0800000000000003E-2</v>
      </c>
      <c r="D387">
        <v>-1.5900000000000001E-2</v>
      </c>
      <c r="E387">
        <v>2.8000000000000004E-3</v>
      </c>
      <c r="F387">
        <v>-1.6399999999999998E-2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-1.0499999999999999E-2</v>
      </c>
      <c r="C390">
        <v>-4.0700000000000007E-2</v>
      </c>
      <c r="D390">
        <v>-5.1000000000000004E-3</v>
      </c>
      <c r="E390">
        <v>1.8600000000000002E-2</v>
      </c>
      <c r="F390">
        <v>-4.0000000000000002E-4</v>
      </c>
    </row>
    <row r="391" spans="1:6">
      <c r="A391">
        <v>199511</v>
      </c>
      <c r="B391">
        <v>4.3800000000000006E-2</v>
      </c>
      <c r="C391">
        <v>-1.0700000000000001E-2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2.3100000000000002E-2</v>
      </c>
    </row>
    <row r="394" spans="1:6">
      <c r="A394">
        <v>199602</v>
      </c>
      <c r="B394">
        <v>1.72E-2</v>
      </c>
      <c r="C394">
        <v>1.7600000000000001E-2</v>
      </c>
      <c r="D394">
        <v>-1.0700000000000001E-2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1.6399999999999998E-2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2.3799999999999998E-2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2.9700000000000004E-2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-4.0999999999999995E-3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-2.7000000000000003E-2</v>
      </c>
      <c r="E401">
        <v>1.23E-2</v>
      </c>
      <c r="F401">
        <v>-2.2200000000000001E-2</v>
      </c>
    </row>
    <row r="402" spans="1:6">
      <c r="A402">
        <v>199610</v>
      </c>
      <c r="B402">
        <v>1.2799999999999999E-2</v>
      </c>
      <c r="C402">
        <v>-3.7600000000000001E-2</v>
      </c>
      <c r="D402">
        <v>4.9400000000000006E-2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-7.8000000000000005E-3</v>
      </c>
    </row>
    <row r="404" spans="1:6">
      <c r="A404">
        <v>199612</v>
      </c>
      <c r="B404">
        <v>-1.2400000000000001E-2</v>
      </c>
      <c r="C404">
        <v>3.2599999999999997E-2</v>
      </c>
      <c r="D404">
        <v>1.3200000000000002E-2</v>
      </c>
      <c r="E404">
        <v>3.8E-3</v>
      </c>
      <c r="F404">
        <v>1.47E-2</v>
      </c>
    </row>
    <row r="405" spans="1:6">
      <c r="A405">
        <v>199701</v>
      </c>
      <c r="B405">
        <v>5.4400000000000004E-2</v>
      </c>
      <c r="C405">
        <v>-1.83E-2</v>
      </c>
      <c r="D405">
        <v>-1.46E-2</v>
      </c>
      <c r="E405">
        <v>1.2200000000000001E-2</v>
      </c>
      <c r="F405">
        <v>-1.3000000000000002E-3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5.6900000000000006E-2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-4.6000000000000006E-2</v>
      </c>
      <c r="C407">
        <v>-4.1999999999999997E-3</v>
      </c>
      <c r="D407">
        <v>3.4000000000000002E-2</v>
      </c>
      <c r="E407">
        <v>4.5000000000000005E-3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3.2400000000000005E-2</v>
      </c>
      <c r="F408">
        <v>-7.0999999999999995E-3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-2.9500000000000002E-2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-2.7700000000000002E-2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-1.0900000000000002E-2</v>
      </c>
      <c r="F412">
        <v>8.9999999999999998E-4</v>
      </c>
    </row>
    <row r="413" spans="1:6">
      <c r="A413">
        <v>199709</v>
      </c>
      <c r="B413">
        <v>5.79E-2</v>
      </c>
      <c r="C413">
        <v>2.4900000000000002E-2</v>
      </c>
      <c r="D413">
        <v>3.8E-3</v>
      </c>
      <c r="E413">
        <v>-1.6200000000000003E-2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-5.5000000000000005E-3</v>
      </c>
      <c r="D414">
        <v>2.2499999999999999E-2</v>
      </c>
      <c r="E414">
        <v>1.0400000000000001E-2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1.1899999999999999E-2</v>
      </c>
      <c r="E415">
        <v>2.81E-2</v>
      </c>
      <c r="F415">
        <v>1.67E-2</v>
      </c>
    </row>
    <row r="416" spans="1:6">
      <c r="A416">
        <v>199712</v>
      </c>
      <c r="B416">
        <v>1.8000000000000002E-2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-1.3600000000000001E-2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-3.4000000000000002E-3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-4.0999999999999995E-3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-2.6699999999999998E-2</v>
      </c>
      <c r="C421">
        <v>-2.92E-2</v>
      </c>
      <c r="D421">
        <v>3.4000000000000002E-2</v>
      </c>
      <c r="E421">
        <v>1.0800000000000001E-2</v>
      </c>
      <c r="F421">
        <v>2.7400000000000004E-2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-2.6000000000000003E-3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4.5000000000000005E-3</v>
      </c>
    </row>
    <row r="424" spans="1:6">
      <c r="A424">
        <v>199808</v>
      </c>
      <c r="B424">
        <v>-0.1565</v>
      </c>
      <c r="C424">
        <v>-5.1700000000000003E-2</v>
      </c>
      <c r="D424">
        <v>3.6000000000000004E-2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7.0999999999999995E-3</v>
      </c>
      <c r="D427">
        <v>-3.2300000000000002E-2</v>
      </c>
      <c r="E427">
        <v>-9.1000000000000004E-3</v>
      </c>
      <c r="F427">
        <v>-1.1399999999999999E-2</v>
      </c>
    </row>
    <row r="428" spans="1:6">
      <c r="A428">
        <v>199812</v>
      </c>
      <c r="B428">
        <v>6.54E-2</v>
      </c>
      <c r="C428">
        <v>-1.5700000000000002E-2</v>
      </c>
      <c r="D428">
        <v>-4.1799999999999997E-2</v>
      </c>
      <c r="E428">
        <v>-7.6E-3</v>
      </c>
      <c r="F428">
        <v>-3.4100000000000005E-2</v>
      </c>
    </row>
    <row r="429" spans="1:6">
      <c r="A429">
        <v>199901</v>
      </c>
      <c r="B429">
        <v>3.8500000000000006E-2</v>
      </c>
      <c r="C429">
        <v>-7.3000000000000001E-3</v>
      </c>
      <c r="D429">
        <v>-4.6200000000000005E-2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-5.2000000000000005E-2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-4.2300000000000004E-2</v>
      </c>
      <c r="D431">
        <v>-2.7700000000000002E-2</v>
      </c>
      <c r="E431">
        <v>-4.0999999999999995E-2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2.4100000000000003E-2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5.1699999999999996E-2</v>
      </c>
      <c r="C434">
        <v>2.3E-2</v>
      </c>
      <c r="D434">
        <v>-3.27E-2</v>
      </c>
      <c r="E434">
        <v>1.1200000000000002E-2</v>
      </c>
      <c r="F434">
        <v>-3.2400000000000005E-2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5.7999999999999996E-2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-5.6100000000000004E-2</v>
      </c>
    </row>
    <row r="441" spans="1:6">
      <c r="A441">
        <v>200001</v>
      </c>
      <c r="B441">
        <v>-4.3300000000000005E-2</v>
      </c>
      <c r="C441">
        <v>4.4500000000000005E-2</v>
      </c>
      <c r="D441">
        <v>-1.89E-2</v>
      </c>
      <c r="E441">
        <v>-6.2899999999999998E-2</v>
      </c>
      <c r="F441">
        <v>4.7400000000000005E-2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-0.18760000000000002</v>
      </c>
      <c r="F442">
        <v>-3.4999999999999996E-3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-3.9200000000000006E-2</v>
      </c>
      <c r="C445">
        <v>-3.8700000000000005E-2</v>
      </c>
      <c r="D445">
        <v>4.8300000000000003E-2</v>
      </c>
      <c r="E445">
        <v>4.1799999999999997E-2</v>
      </c>
      <c r="F445">
        <v>1.3200000000000002E-2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-1.3700000000000002E-2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2.6000000000000003E-3</v>
      </c>
      <c r="D449">
        <v>7.17E-2</v>
      </c>
      <c r="E449">
        <v>2.8900000000000002E-2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-2.7200000000000002E-2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-5.1100000000000007E-2</v>
      </c>
      <c r="E453">
        <v>-5.4600000000000003E-2</v>
      </c>
      <c r="F453">
        <v>-5.0499999999999996E-2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0.12480000000000001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1.2700000000000001E-2</v>
      </c>
      <c r="F458">
        <v>-1.5100000000000001E-2</v>
      </c>
    </row>
    <row r="459" spans="1:6">
      <c r="A459">
        <v>200107</v>
      </c>
      <c r="B459">
        <v>-1.83E-2</v>
      </c>
      <c r="C459">
        <v>-2.8300000000000002E-2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-6.1500000000000006E-2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-5.7300000000000004E-2</v>
      </c>
      <c r="D461">
        <v>1.46E-2</v>
      </c>
      <c r="E461">
        <v>5.0300000000000004E-2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3.4999999999999996E-3</v>
      </c>
      <c r="F464">
        <v>-2.8000000000000004E-3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4.6900000000000004E-2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1.0700000000000001E-2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4.5899999999999996E-2</v>
      </c>
      <c r="F468">
        <v>5.3700000000000005E-2</v>
      </c>
    </row>
    <row r="469" spans="1:6">
      <c r="A469">
        <v>200205</v>
      </c>
      <c r="B469">
        <v>-1.24E-2</v>
      </c>
      <c r="C469">
        <v>-3.0200000000000001E-2</v>
      </c>
      <c r="D469">
        <v>1.5300000000000001E-2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2.5099999999999997E-2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-1.3200000000000002E-2</v>
      </c>
      <c r="D472">
        <v>3.3100000000000004E-2</v>
      </c>
      <c r="E472">
        <v>1.34E-2</v>
      </c>
      <c r="F472">
        <v>-1.4199999999999999E-2</v>
      </c>
    </row>
    <row r="473" spans="1:6">
      <c r="A473">
        <v>200209</v>
      </c>
      <c r="B473">
        <v>-0.1021</v>
      </c>
      <c r="C473">
        <v>3.1000000000000003E-2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7.8000000000000005E-3</v>
      </c>
    </row>
    <row r="475" spans="1:6">
      <c r="A475">
        <v>200211</v>
      </c>
      <c r="B475">
        <v>6.08E-2</v>
      </c>
      <c r="C475">
        <v>2.9500000000000002E-2</v>
      </c>
      <c r="D475">
        <v>-1.2700000000000001E-2</v>
      </c>
      <c r="E475">
        <v>-9.1899999999999996E-2</v>
      </c>
      <c r="F475">
        <v>5.1500000000000004E-2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6.8000000000000005E-3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6.1399999999999996E-2</v>
      </c>
      <c r="C481">
        <v>4.8499999999999995E-2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1.5199999999999998E-2</v>
      </c>
      <c r="C482">
        <v>1.66E-2</v>
      </c>
      <c r="D482">
        <v>1.9E-3</v>
      </c>
      <c r="E482">
        <v>4.4000000000000003E-3</v>
      </c>
      <c r="F482">
        <v>-3.4000000000000002E-3</v>
      </c>
    </row>
    <row r="483" spans="1:6">
      <c r="A483">
        <v>200307</v>
      </c>
      <c r="B483">
        <v>2.4199999999999999E-2</v>
      </c>
      <c r="C483">
        <v>4.58E-2</v>
      </c>
      <c r="D483">
        <v>-1.1899999999999999E-2</v>
      </c>
      <c r="E483">
        <v>-4.2300000000000004E-2</v>
      </c>
      <c r="F483">
        <v>1.8500000000000003E-2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5.5000000000000005E-3</v>
      </c>
      <c r="D485">
        <v>1E-3</v>
      </c>
      <c r="E485">
        <v>1.06E-2</v>
      </c>
      <c r="F485">
        <v>3.4000000000000002E-3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-1.3000000000000001E-2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2.2199999999999998E-2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1.4599999999999998E-2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-1.2300000000000002E-2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1.1899999999999999E-2</v>
      </c>
      <c r="F494">
        <v>-3.8E-3</v>
      </c>
    </row>
    <row r="495" spans="1:6">
      <c r="A495">
        <v>200407</v>
      </c>
      <c r="B495">
        <v>-3.9599999999999996E-2</v>
      </c>
      <c r="C495">
        <v>-2.9399999999999999E-2</v>
      </c>
      <c r="D495">
        <v>3.2199999999999999E-2</v>
      </c>
      <c r="E495">
        <v>5.3099999999999994E-2</v>
      </c>
      <c r="F495">
        <v>-1.66E-2</v>
      </c>
    </row>
    <row r="496" spans="1:6">
      <c r="A496">
        <v>200408</v>
      </c>
      <c r="B496">
        <v>1.9000000000000002E-3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4.6900000000000004E-2</v>
      </c>
      <c r="C499">
        <v>4.1100000000000005E-2</v>
      </c>
      <c r="D499">
        <v>1.4499999999999999E-2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2.7200000000000002E-2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1.4199999999999999E-2</v>
      </c>
      <c r="F502">
        <v>-5.0000000000000001E-4</v>
      </c>
    </row>
    <row r="503" spans="1:6">
      <c r="A503">
        <v>200503</v>
      </c>
      <c r="B503">
        <v>-1.7599999999999998E-2</v>
      </c>
      <c r="C503">
        <v>-1.4199999999999999E-2</v>
      </c>
      <c r="D503">
        <v>2.0499999999999997E-2</v>
      </c>
      <c r="E503">
        <v>4.5000000000000005E-3</v>
      </c>
      <c r="F503">
        <v>1.29E-2</v>
      </c>
    </row>
    <row r="504" spans="1:6">
      <c r="A504">
        <v>200504</v>
      </c>
      <c r="B504">
        <v>-2.3999999999999997E-2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3.2799999999999996E-2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-7.8000000000000005E-3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-1.7499999999999998E-2</v>
      </c>
      <c r="C510">
        <v>-1.43E-2</v>
      </c>
      <c r="D510">
        <v>4.0999999999999995E-3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-1.1399999999999999E-2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5.7699999999999994E-2</v>
      </c>
      <c r="D513">
        <v>1.0900000000000002E-2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5.5000000000000005E-3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-3.1400000000000004E-2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1.3300000000000001E-2</v>
      </c>
      <c r="F518">
        <v>-8.0000000000000004E-4</v>
      </c>
    </row>
    <row r="519" spans="1:6">
      <c r="A519">
        <v>200607</v>
      </c>
      <c r="B519">
        <v>-3.8000000000000004E-3</v>
      </c>
      <c r="C519">
        <v>-3.6400000000000002E-2</v>
      </c>
      <c r="D519">
        <v>2.6200000000000001E-2</v>
      </c>
      <c r="E519">
        <v>1.6399999999999998E-2</v>
      </c>
      <c r="F519">
        <v>9.0000000000000011E-3</v>
      </c>
    </row>
    <row r="520" spans="1:6">
      <c r="A520">
        <v>200608</v>
      </c>
      <c r="B520">
        <v>2.4499999999999997E-2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-2.6000000000000003E-3</v>
      </c>
      <c r="E522">
        <v>-1.6000000000000001E-3</v>
      </c>
      <c r="F522">
        <v>2.8000000000000004E-3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-7.0999999999999995E-3</v>
      </c>
      <c r="F524">
        <v>2.0499999999999997E-2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-1.5799999999999998E-2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1.1000000000000001E-2</v>
      </c>
      <c r="F528">
        <v>1.0500000000000001E-2</v>
      </c>
    </row>
    <row r="529" spans="1:6">
      <c r="A529">
        <v>200705</v>
      </c>
      <c r="B529">
        <v>3.6500000000000005E-2</v>
      </c>
      <c r="C529">
        <v>3.8E-3</v>
      </c>
      <c r="D529">
        <v>-6.1999999999999998E-3</v>
      </c>
      <c r="E529">
        <v>1.5500000000000002E-2</v>
      </c>
      <c r="F529">
        <v>-1.3600000000000001E-2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-1.0700000000000001E-2</v>
      </c>
      <c r="E530">
        <v>5.3E-3</v>
      </c>
      <c r="F530">
        <v>8.0000000000000004E-4</v>
      </c>
    </row>
    <row r="531" spans="1:6">
      <c r="A531">
        <v>200707</v>
      </c>
      <c r="B531">
        <v>-3.3299999999999996E-2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1.3399999999999999E-2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2.1200000000000004E-2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-6.1500000000000006E-2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3.4999999999999996E-3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-1.1899999999999999E-2</v>
      </c>
      <c r="D540">
        <v>-1.0900000000000002E-2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-1.5300000000000001E-2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1.1899999999999999E-2</v>
      </c>
      <c r="D542">
        <v>-2.7000000000000003E-2</v>
      </c>
      <c r="E542">
        <v>4.9400000000000006E-2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3.7000000000000005E-2</v>
      </c>
      <c r="D543">
        <v>5.2699999999999997E-2</v>
      </c>
      <c r="E543">
        <v>-1.3500000000000002E-2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5.9000000000000004E-2</v>
      </c>
      <c r="E545">
        <v>2.4100000000000003E-2</v>
      </c>
      <c r="F545">
        <v>1.8000000000000002E-2</v>
      </c>
    </row>
    <row r="546" spans="1:6">
      <c r="A546">
        <v>200810</v>
      </c>
      <c r="B546">
        <v>-0.17150000000000001</v>
      </c>
      <c r="C546">
        <v>-3.2799999999999996E-2</v>
      </c>
      <c r="D546">
        <v>-2.2200000000000001E-2</v>
      </c>
      <c r="E546">
        <v>2.9900000000000003E-2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3.3100000000000004E-2</v>
      </c>
      <c r="D548">
        <v>7.000000000000001E-4</v>
      </c>
      <c r="E548">
        <v>1.3000000000000002E-3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-2.0800000000000003E-2</v>
      </c>
      <c r="D549">
        <v>-0.11109999999999999</v>
      </c>
      <c r="E549">
        <v>1.1000000000000001E-3</v>
      </c>
      <c r="F549">
        <v>-1.1899999999999999E-2</v>
      </c>
    </row>
    <row r="550" spans="1:6">
      <c r="A550">
        <v>200902</v>
      </c>
      <c r="B550">
        <v>-0.10089999999999999</v>
      </c>
      <c r="C550">
        <v>-1.3000000000000001E-2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-2.3100000000000002E-2</v>
      </c>
      <c r="D553">
        <v>3.7000000000000002E-3</v>
      </c>
      <c r="E553">
        <v>-7.4000000000000003E-3</v>
      </c>
      <c r="F553">
        <v>-2.2000000000000002E-2</v>
      </c>
    </row>
    <row r="554" spans="1:6">
      <c r="A554">
        <v>200906</v>
      </c>
      <c r="B554">
        <v>4.4000000000000003E-3</v>
      </c>
      <c r="C554">
        <v>2.3100000000000002E-2</v>
      </c>
      <c r="D554">
        <v>-2.7200000000000002E-2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3.3400000000000006E-2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4.0900000000000006E-2</v>
      </c>
      <c r="C557">
        <v>2.7200000000000002E-2</v>
      </c>
      <c r="D557">
        <v>1.0400000000000001E-2</v>
      </c>
      <c r="E557">
        <v>1.2500000000000001E-2</v>
      </c>
      <c r="F557">
        <v>3.4999999999999996E-3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-3.3000000000000004E-3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6.2400000000000004E-2</v>
      </c>
      <c r="D560">
        <v>-1.7000000000000001E-3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3.4999999999999996E-3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-2.8000000000000004E-3</v>
      </c>
      <c r="F562">
        <v>1.3999999999999999E-2</v>
      </c>
    </row>
    <row r="563" spans="1:6">
      <c r="A563">
        <v>201003</v>
      </c>
      <c r="B563">
        <v>6.3200000000000006E-2</v>
      </c>
      <c r="C563">
        <v>1.8500000000000003E-2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4.9800000000000004E-2</v>
      </c>
      <c r="D564">
        <v>2.8900000000000002E-2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1.2700000000000001E-2</v>
      </c>
      <c r="F565">
        <v>-2.3E-3</v>
      </c>
    </row>
    <row r="566" spans="1:6">
      <c r="A566">
        <v>201006</v>
      </c>
      <c r="B566">
        <v>-5.5600000000000004E-2</v>
      </c>
      <c r="C566">
        <v>-2.4700000000000003E-2</v>
      </c>
      <c r="D566">
        <v>-4.7E-2</v>
      </c>
      <c r="E566">
        <v>-1.8E-3</v>
      </c>
      <c r="F566">
        <v>-1.5500000000000002E-2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2.6000000000000003E-3</v>
      </c>
      <c r="F567">
        <v>1.9900000000000001E-2</v>
      </c>
    </row>
    <row r="568" spans="1:6">
      <c r="A568">
        <v>201008</v>
      </c>
      <c r="B568">
        <v>-4.7599999999999996E-2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3.8900000000000004E-2</v>
      </c>
      <c r="C570">
        <v>8.6E-3</v>
      </c>
      <c r="D570">
        <v>-2.4900000000000002E-2</v>
      </c>
      <c r="E570">
        <v>1.2700000000000001E-2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-2.3700000000000002E-2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2.6400000000000003E-2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2.8999999999999998E-2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-1.2700000000000001E-2</v>
      </c>
      <c r="C577">
        <v>-7.0999999999999995E-3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1.3000000000000002E-3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-2.1400000000000002E-2</v>
      </c>
      <c r="F582">
        <v>-8.6999999999999994E-3</v>
      </c>
    </row>
    <row r="583" spans="1:6">
      <c r="A583">
        <v>201111</v>
      </c>
      <c r="B583">
        <v>-2.8000000000000004E-3</v>
      </c>
      <c r="C583">
        <v>-2.8000000000000004E-3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-3.3000000000000004E-3</v>
      </c>
      <c r="D584">
        <v>1.61E-2</v>
      </c>
      <c r="E584">
        <v>1.01E-2</v>
      </c>
      <c r="F584">
        <v>2.4900000000000002E-2</v>
      </c>
    </row>
    <row r="585" spans="1:6">
      <c r="A585">
        <v>201201</v>
      </c>
      <c r="B585">
        <v>5.0499999999999996E-2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1.1200000000000002E-2</v>
      </c>
      <c r="E587">
        <v>-5.5000000000000005E-3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3.8900000000000004E-2</v>
      </c>
      <c r="C590">
        <v>8.1000000000000013E-3</v>
      </c>
      <c r="D590">
        <v>5.8999999999999999E-3</v>
      </c>
      <c r="E590">
        <v>-1.0700000000000001E-2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2.5599999999999998E-2</v>
      </c>
      <c r="C592">
        <v>4.5000000000000005E-3</v>
      </c>
      <c r="D592">
        <v>1.3000000000000001E-2</v>
      </c>
      <c r="E592">
        <v>-1.3300000000000001E-2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1.1899999999999999E-2</v>
      </c>
      <c r="C596">
        <v>1.9199999999999998E-2</v>
      </c>
      <c r="D596">
        <v>3.5299999999999998E-2</v>
      </c>
      <c r="E596">
        <v>-1.8600000000000002E-2</v>
      </c>
      <c r="F596">
        <v>8.6E-3</v>
      </c>
    </row>
    <row r="597" spans="1:6">
      <c r="A597">
        <v>201301</v>
      </c>
      <c r="B597">
        <v>5.5700000000000006E-2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1.3000000000000002E-3</v>
      </c>
      <c r="F599">
        <v>1.3700000000000002E-2</v>
      </c>
    </row>
    <row r="600" spans="1:6">
      <c r="A600">
        <v>201304</v>
      </c>
      <c r="B600">
        <v>1.5500000000000002E-2</v>
      </c>
      <c r="C600">
        <v>-2.2400000000000003E-2</v>
      </c>
      <c r="D600">
        <v>5.0000000000000001E-3</v>
      </c>
      <c r="E600">
        <v>2.7000000000000001E-3</v>
      </c>
      <c r="F600">
        <v>3.9000000000000003E-3</v>
      </c>
    </row>
    <row r="601" spans="1:6">
      <c r="A601">
        <v>201305</v>
      </c>
      <c r="B601">
        <v>2.7999999999999997E-2</v>
      </c>
      <c r="C601">
        <v>2.0800000000000003E-2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1.5600000000000001E-2</v>
      </c>
      <c r="D602">
        <v>5.0000000000000001E-4</v>
      </c>
      <c r="E602">
        <v>-3.9000000000000003E-3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-1.3500000000000002E-2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3.7700000000000004E-2</v>
      </c>
      <c r="C605">
        <v>2.6499999999999999E-2</v>
      </c>
      <c r="D605">
        <v>-1.23E-2</v>
      </c>
      <c r="E605">
        <v>-5.6000000000000008E-3</v>
      </c>
      <c r="F605">
        <v>-1.3999999999999999E-2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1.3999999999999999E-2</v>
      </c>
      <c r="D607">
        <v>2.8000000000000004E-3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-4.1299999999999996E-2</v>
      </c>
      <c r="D612">
        <v>1.1399999999999999E-2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-1.3000000000000002E-3</v>
      </c>
      <c r="E613">
        <v>5.0000000000000001E-4</v>
      </c>
      <c r="F613">
        <v>-1.01E-2</v>
      </c>
    </row>
    <row r="614" spans="1:6">
      <c r="A614">
        <v>201406</v>
      </c>
      <c r="B614">
        <v>2.6099999999999998E-2</v>
      </c>
      <c r="C614">
        <v>3.1000000000000003E-2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-6.8000000000000005E-3</v>
      </c>
    </row>
    <row r="617" spans="1:6">
      <c r="A617">
        <v>201409</v>
      </c>
      <c r="B617">
        <v>-1.9699999999999999E-2</v>
      </c>
      <c r="C617">
        <v>-3.7200000000000004E-2</v>
      </c>
      <c r="D617">
        <v>-1.3600000000000001E-2</v>
      </c>
      <c r="E617">
        <v>1.3000000000000001E-2</v>
      </c>
      <c r="F617">
        <v>-5.0000000000000001E-3</v>
      </c>
    </row>
    <row r="618" spans="1:6">
      <c r="A618">
        <v>201410</v>
      </c>
      <c r="B618">
        <v>2.52E-2</v>
      </c>
      <c r="C618">
        <v>3.7700000000000004E-2</v>
      </c>
      <c r="D618">
        <v>-1.8500000000000003E-2</v>
      </c>
      <c r="E618">
        <v>-5.0000000000000001E-3</v>
      </c>
      <c r="F618">
        <v>-1.4000000000000002E-3</v>
      </c>
    </row>
    <row r="619" spans="1:6">
      <c r="A619">
        <v>201411</v>
      </c>
      <c r="B619">
        <v>2.5499999999999998E-2</v>
      </c>
      <c r="C619">
        <v>-2.2400000000000003E-2</v>
      </c>
      <c r="D619">
        <v>-3.1200000000000002E-2</v>
      </c>
      <c r="E619">
        <v>1.5300000000000001E-2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1.6200000000000003E-2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-1.8500000000000003E-2</v>
      </c>
      <c r="E622">
        <v>-1.1200000000000002E-2</v>
      </c>
      <c r="F622">
        <v>-1.78E-2</v>
      </c>
    </row>
    <row r="623" spans="1:6">
      <c r="A623">
        <v>201503</v>
      </c>
      <c r="B623">
        <v>-1.1200000000000002E-2</v>
      </c>
      <c r="C623">
        <v>3.1000000000000003E-2</v>
      </c>
      <c r="D623">
        <v>-4.0999999999999995E-3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1.3600000000000001E-2</v>
      </c>
      <c r="C625">
        <v>8.1000000000000013E-3</v>
      </c>
      <c r="D625">
        <v>-1.1000000000000001E-2</v>
      </c>
      <c r="E625">
        <v>-1.78E-2</v>
      </c>
      <c r="F625">
        <v>-6.9999999999999993E-3</v>
      </c>
    </row>
    <row r="626" spans="1:6">
      <c r="A626">
        <v>201506</v>
      </c>
      <c r="B626">
        <v>-1.5300000000000001E-2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-4.5899999999999996E-2</v>
      </c>
      <c r="D627">
        <v>-4.0700000000000007E-2</v>
      </c>
      <c r="E627">
        <v>3.4000000000000002E-3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2.7999999999999997E-2</v>
      </c>
      <c r="E628">
        <v>6.4000000000000003E-3</v>
      </c>
      <c r="F628">
        <v>1.26E-2</v>
      </c>
    </row>
    <row r="629" spans="1:6">
      <c r="A629">
        <v>201509</v>
      </c>
      <c r="B629">
        <v>-3.0699999999999998E-2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-2.9700000000000004E-2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2.8399999999999998E-2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1.1000000000000001E-2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3.2100000000000004E-2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-1.1000000000000001E-2</v>
      </c>
      <c r="F637">
        <v>-2.4799999999999999E-2</v>
      </c>
    </row>
    <row r="638" spans="1:6">
      <c r="A638">
        <v>201606</v>
      </c>
      <c r="B638">
        <v>-3.0000000000000003E-4</v>
      </c>
      <c r="C638">
        <v>4.4000000000000003E-3</v>
      </c>
      <c r="D638">
        <v>-1.4499999999999999E-2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-1.1899999999999999E-2</v>
      </c>
    </row>
    <row r="640" spans="1:6">
      <c r="A640">
        <v>201608</v>
      </c>
      <c r="B640">
        <v>5.0999999999999995E-3</v>
      </c>
      <c r="C640">
        <v>1.6899999999999998E-2</v>
      </c>
      <c r="D640">
        <v>3.1600000000000003E-2</v>
      </c>
      <c r="E640">
        <v>-1.89E-2</v>
      </c>
      <c r="F640">
        <v>-3.4000000000000002E-3</v>
      </c>
    </row>
    <row r="641" spans="1:6">
      <c r="A641">
        <v>201609</v>
      </c>
      <c r="B641">
        <v>2.7000000000000001E-3</v>
      </c>
      <c r="C641">
        <v>1.8600000000000002E-2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-1.7000000000000001E-3</v>
      </c>
      <c r="F643">
        <v>3.7100000000000001E-2</v>
      </c>
    </row>
    <row r="644" spans="1:6">
      <c r="A644">
        <v>201612</v>
      </c>
      <c r="B644">
        <v>1.8400000000000003E-2</v>
      </c>
      <c r="C644">
        <v>4.0999999999999995E-3</v>
      </c>
      <c r="D644">
        <v>3.56E-2</v>
      </c>
      <c r="E644">
        <v>1.24E-2</v>
      </c>
      <c r="F644">
        <v>-2.6000000000000003E-3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1.1400000000000002E-2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-1.6200000000000003E-2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4.7400000000000005E-2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-3.4999999999999996E-3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-1.0700000000000001E-2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-1.3600000000000001E-2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3.3000000000000004E-3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-2.4100000000000003E-2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3.3499999999999995E-2</v>
      </c>
      <c r="C663">
        <v>-1.9400000000000001E-2</v>
      </c>
      <c r="D663">
        <v>4.5000000000000005E-3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-2.6600000000000002E-2</v>
      </c>
    </row>
    <row r="665" spans="1:6">
      <c r="A665">
        <v>201809</v>
      </c>
      <c r="B665">
        <v>2.0999999999999999E-3</v>
      </c>
      <c r="C665">
        <v>-2.4900000000000002E-2</v>
      </c>
      <c r="D665">
        <v>-1.7000000000000001E-2</v>
      </c>
      <c r="E665">
        <v>6.7000000000000002E-3</v>
      </c>
      <c r="F665">
        <v>1.3000000000000001E-2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3.4300000000000004E-2</v>
      </c>
      <c r="E666">
        <v>9.7999999999999997E-3</v>
      </c>
      <c r="F666">
        <v>3.6000000000000004E-2</v>
      </c>
    </row>
    <row r="667" spans="1:6">
      <c r="A667">
        <v>201811</v>
      </c>
      <c r="B667">
        <v>1.8699999999999998E-2</v>
      </c>
      <c r="C667">
        <v>-7.7000000000000002E-3</v>
      </c>
      <c r="D667">
        <v>2.6000000000000003E-3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-2.8999999999999998E-2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3.5800000000000005E-2</v>
      </c>
      <c r="C670">
        <v>1.72E-2</v>
      </c>
      <c r="D670">
        <v>-2.6800000000000001E-2</v>
      </c>
      <c r="E670">
        <v>2.0999999999999999E-3</v>
      </c>
      <c r="F670">
        <v>-1.6200000000000003E-2</v>
      </c>
    </row>
    <row r="671" spans="1:6">
      <c r="A671">
        <v>201903</v>
      </c>
      <c r="B671">
        <v>1.2900000000000002E-2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4.1800000000000004E-2</v>
      </c>
      <c r="C672">
        <v>-1.1399999999999999E-2</v>
      </c>
      <c r="D672">
        <v>2.1700000000000001E-2</v>
      </c>
      <c r="E672">
        <v>1.6399999999999998E-2</v>
      </c>
      <c r="F672">
        <v>-2.2000000000000002E-2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-2.3700000000000002E-2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-7.0999999999999995E-3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5.5000000000000005E-3</v>
      </c>
      <c r="F676">
        <v>-7.0999999999999995E-3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3.9900000000000005E-2</v>
      </c>
      <c r="C679">
        <v>4.8999999999999998E-3</v>
      </c>
      <c r="D679">
        <v>-2.0899999999999998E-2</v>
      </c>
      <c r="E679">
        <v>-1.6399999999999998E-2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1.8000000000000002E-2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-4.4000000000000004E-2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-1.4499999999999999E-2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2.6600000000000002E-2</v>
      </c>
      <c r="D684">
        <v>-1.3000000000000001E-2</v>
      </c>
      <c r="E684">
        <v>2.6400000000000003E-2</v>
      </c>
      <c r="F684">
        <v>-9.4000000000000004E-3</v>
      </c>
    </row>
    <row r="685" spans="1:6">
      <c r="A685">
        <v>202005</v>
      </c>
      <c r="B685">
        <v>5.5900000000000005E-2</v>
      </c>
      <c r="C685">
        <v>2.0199999999999999E-2</v>
      </c>
      <c r="D685">
        <v>-4.9200000000000001E-2</v>
      </c>
      <c r="E685">
        <v>9.1999999999999998E-3</v>
      </c>
      <c r="F685">
        <v>-3.2100000000000004E-2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-1.5300000000000001E-2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-2.9500000000000002E-2</v>
      </c>
      <c r="E688">
        <v>4.3600000000000007E-2</v>
      </c>
      <c r="F688">
        <v>-1.3500000000000002E-2</v>
      </c>
    </row>
    <row r="689" spans="1:6">
      <c r="A689">
        <v>202009</v>
      </c>
      <c r="B689">
        <v>-3.6199999999999996E-2</v>
      </c>
      <c r="C689">
        <v>1E-4</v>
      </c>
      <c r="D689">
        <v>-2.58E-2</v>
      </c>
      <c r="E689">
        <v>-1.38E-2</v>
      </c>
      <c r="F689">
        <v>-1.8000000000000002E-2</v>
      </c>
    </row>
    <row r="690" spans="1:6">
      <c r="A690">
        <v>202010</v>
      </c>
      <c r="B690">
        <v>-2.0900000000000002E-2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0.12480000000000001</v>
      </c>
      <c r="C691">
        <v>6.9900000000000004E-2</v>
      </c>
      <c r="D691">
        <v>2.1000000000000001E-2</v>
      </c>
      <c r="E691">
        <v>-2.1100000000000001E-2</v>
      </c>
      <c r="F691">
        <v>1.3600000000000001E-2</v>
      </c>
    </row>
    <row r="692" spans="1:6">
      <c r="A692">
        <v>202012</v>
      </c>
      <c r="B692">
        <v>4.6400000000000004E-2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4.5000000000000005E-3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-3.1000000000000003E-2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1.1899999999999999E-2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-2.8000000000000004E-3</v>
      </c>
      <c r="D698">
        <v>-7.8200000000000006E-2</v>
      </c>
      <c r="E698">
        <v>-2.1400000000000002E-2</v>
      </c>
      <c r="F698">
        <v>-1.0400000000000001E-2</v>
      </c>
    </row>
    <row r="699" spans="1:6">
      <c r="A699">
        <v>202107</v>
      </c>
      <c r="B699">
        <v>1.2700000000000001E-2</v>
      </c>
      <c r="C699">
        <v>-4.5499999999999999E-2</v>
      </c>
      <c r="D699">
        <v>-1.7399999999999999E-2</v>
      </c>
      <c r="E699">
        <v>5.3700000000000005E-2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-7.8000000000000005E-3</v>
      </c>
      <c r="D700">
        <v>-1.5E-3</v>
      </c>
      <c r="E700">
        <v>-2.6000000000000003E-3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-1.5500000000000002E-2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3.1100000000000003E-2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93861-FF3C-4B2B-91AC-44E227EB514C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963</v>
      </c>
    </row>
    <row r="2" spans="1:23">
      <c r="L2" t="s">
        <v>102</v>
      </c>
      <c r="M2" t="s">
        <v>117</v>
      </c>
      <c r="N2" t="s">
        <v>119</v>
      </c>
      <c r="O2" t="s">
        <v>120</v>
      </c>
      <c r="P2" t="s">
        <v>121</v>
      </c>
    </row>
    <row r="3" spans="1:23">
      <c r="G3" t="s">
        <v>93</v>
      </c>
      <c r="H3">
        <v>3.6616809116809218E-3</v>
      </c>
      <c r="L3">
        <v>1</v>
      </c>
      <c r="M3">
        <v>0.67810963840939986</v>
      </c>
      <c r="N3">
        <v>-0.40552532285486814</v>
      </c>
      <c r="O3">
        <v>1.8719319098874976</v>
      </c>
      <c r="P3">
        <v>2.6543344918287883</v>
      </c>
    </row>
    <row r="5" spans="1:23">
      <c r="K5" s="197" t="s">
        <v>175</v>
      </c>
      <c r="L5" s="197"/>
    </row>
    <row r="6" spans="1:23" ht="15.75" thickBot="1">
      <c r="B6" t="s">
        <v>1166</v>
      </c>
      <c r="C6" t="s">
        <v>266</v>
      </c>
      <c r="D6" t="s">
        <v>117</v>
      </c>
      <c r="E6" t="s">
        <v>119</v>
      </c>
      <c r="F6" t="s">
        <v>120</v>
      </c>
      <c r="G6" t="s">
        <v>121</v>
      </c>
      <c r="I6" t="s">
        <v>962</v>
      </c>
      <c r="K6" t="s">
        <v>962</v>
      </c>
      <c r="L6" t="s">
        <v>1168</v>
      </c>
      <c r="N6" t="s">
        <v>40</v>
      </c>
      <c r="W6" s="30"/>
    </row>
    <row r="7" spans="1:23">
      <c r="A7">
        <v>196307</v>
      </c>
      <c r="B7">
        <f>'10-T-weights5'!B3</f>
        <v>-1.2000000000000001E-3</v>
      </c>
      <c r="C7">
        <f>B7-$H$3</f>
        <v>-4.8616809116809219E-3</v>
      </c>
      <c r="D7">
        <v>-4.4000000000000003E-3</v>
      </c>
      <c r="E7">
        <v>-8.8999999999999999E-3</v>
      </c>
      <c r="F7">
        <v>6.8000000000000005E-3</v>
      </c>
      <c r="G7">
        <v>-1.23E-2</v>
      </c>
      <c r="I7">
        <v>4.3E-3</v>
      </c>
      <c r="K7">
        <f>I7-$H$3</f>
        <v>6.3831908831907822E-4</v>
      </c>
      <c r="L7">
        <f t="shared" ref="L7:L70" si="0">SUMPRODUCT($L$3:$P$3,C7:G7)</f>
        <v>-2.415536520953307E-2</v>
      </c>
      <c r="N7" s="28"/>
      <c r="O7" s="28" t="s">
        <v>56</v>
      </c>
      <c r="P7" s="28" t="s">
        <v>45</v>
      </c>
      <c r="Q7" s="28" t="s">
        <v>57</v>
      </c>
      <c r="R7" s="28" t="s">
        <v>58</v>
      </c>
      <c r="S7" s="28" t="s">
        <v>59</v>
      </c>
      <c r="T7" s="28" t="s">
        <v>60</v>
      </c>
      <c r="U7" s="30"/>
      <c r="V7" s="30"/>
    </row>
    <row r="8" spans="1:23">
      <c r="A8">
        <v>196308</v>
      </c>
      <c r="B8">
        <f>'10-T-weights5'!B4</f>
        <v>5.3200000000000004E-2</v>
      </c>
      <c r="C8">
        <f t="shared" ref="C8:C71" si="1">B8-$H$3</f>
        <v>4.9538319088319085E-2</v>
      </c>
      <c r="D8">
        <v>-7.4999999999999997E-3</v>
      </c>
      <c r="E8">
        <v>1.6799999999999999E-2</v>
      </c>
      <c r="F8">
        <v>3.5999999999999999E-3</v>
      </c>
      <c r="G8">
        <v>-3.4000000000000002E-3</v>
      </c>
      <c r="I8">
        <v>9.2300000000000007E-2</v>
      </c>
      <c r="K8">
        <f t="shared" ref="K8:K71" si="2">I8-$H$3</f>
        <v>8.8638319088319081E-2</v>
      </c>
      <c r="L8">
        <f t="shared" si="0"/>
        <v>3.5353888979663906E-2</v>
      </c>
      <c r="N8" t="s">
        <v>61</v>
      </c>
      <c r="O8" s="49">
        <v>5.7410162220291848E-3</v>
      </c>
      <c r="P8">
        <v>1.1459317003537763E-3</v>
      </c>
      <c r="Q8">
        <v>5.0099113413624892</v>
      </c>
      <c r="R8">
        <v>6.9117242967033445E-7</v>
      </c>
      <c r="S8">
        <v>3.4911188405224586E-3</v>
      </c>
      <c r="T8">
        <v>7.990913603535911E-3</v>
      </c>
    </row>
    <row r="9" spans="1:23">
      <c r="A9">
        <v>196309</v>
      </c>
      <c r="B9">
        <f>'10-T-weights5'!B5</f>
        <v>-1.3000000000000001E-2</v>
      </c>
      <c r="C9">
        <f t="shared" si="1"/>
        <v>-1.6661680911680923E-2</v>
      </c>
      <c r="D9">
        <v>-5.5000000000000005E-3</v>
      </c>
      <c r="E9">
        <v>8.0000000000000004E-4</v>
      </c>
      <c r="F9">
        <v>-7.0999999999999995E-3</v>
      </c>
      <c r="G9">
        <v>2.8999999999999998E-3</v>
      </c>
      <c r="I9">
        <v>-1.9800000000000002E-2</v>
      </c>
      <c r="K9">
        <f t="shared" si="2"/>
        <v>-2.3461680911680924E-2</v>
      </c>
      <c r="L9">
        <f t="shared" si="0"/>
        <v>-2.6308850715114265E-2</v>
      </c>
      <c r="N9" t="s">
        <v>62</v>
      </c>
      <c r="O9">
        <v>1.0269416419215711</v>
      </c>
      <c r="P9">
        <v>2.7951303355035838E-2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1"/>
        <v>2.4538319088319077E-2</v>
      </c>
      <c r="D10">
        <v>-1.3700000000000002E-2</v>
      </c>
      <c r="E10">
        <v>-1.4000000000000002E-3</v>
      </c>
      <c r="F10">
        <v>2.7999999999999997E-2</v>
      </c>
      <c r="G10">
        <v>-2.0199999999999999E-2</v>
      </c>
      <c r="I10">
        <v>5.2800000000000007E-2</v>
      </c>
      <c r="K10">
        <f t="shared" si="2"/>
        <v>4.9138319088319088E-2</v>
      </c>
      <c r="L10">
        <f t="shared" si="0"/>
        <v>1.4612489236015519E-2</v>
      </c>
      <c r="N10" t="s">
        <v>65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0.43987113084812685</v>
      </c>
    </row>
    <row r="11" spans="1:23">
      <c r="A11">
        <v>196311</v>
      </c>
      <c r="B11">
        <f>'10-T-weights5'!B7</f>
        <v>-5.8000000000000005E-3</v>
      </c>
      <c r="C11">
        <f t="shared" si="1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2.3100000000000002E-2</v>
      </c>
      <c r="I11">
        <v>-8.0000000000000004E-4</v>
      </c>
      <c r="K11">
        <f t="shared" si="2"/>
        <v>-4.4616809116809217E-3</v>
      </c>
      <c r="L11">
        <f t="shared" si="0"/>
        <v>2.8931408983621086E-2</v>
      </c>
      <c r="N11" t="s">
        <v>116</v>
      </c>
      <c r="O11">
        <v>-0.35369471981476358</v>
      </c>
      <c r="P11">
        <v>5.1809064185856256E-2</v>
      </c>
      <c r="Q11">
        <v>-6.8268887958667541</v>
      </c>
      <c r="R11">
        <v>1.8914033455831801E-11</v>
      </c>
      <c r="S11">
        <v>-0.45541550981829126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1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2"/>
        <v>3.6383190883190783E-3</v>
      </c>
      <c r="L12">
        <f t="shared" si="0"/>
        <v>3.3257156077631288E-3</v>
      </c>
      <c r="N12" t="s">
        <v>123</v>
      </c>
      <c r="O12">
        <v>-5.2704584485843482E-2</v>
      </c>
      <c r="P12">
        <v>5.4218970131106575E-2</v>
      </c>
      <c r="Q12">
        <v>-0.97206908132704906</v>
      </c>
      <c r="R12">
        <v>0.33135388164335255</v>
      </c>
      <c r="S12">
        <v>-0.15915693141743442</v>
      </c>
      <c r="T12">
        <v>5.374776244574745E-2</v>
      </c>
    </row>
    <row r="13" spans="1:23" ht="15.75" thickBot="1">
      <c r="A13">
        <v>196401</v>
      </c>
      <c r="B13">
        <f>'10-T-weights5'!B9</f>
        <v>2.5400000000000002E-2</v>
      </c>
      <c r="C13">
        <f t="shared" si="1"/>
        <v>2.173831908831908E-2</v>
      </c>
      <c r="D13">
        <v>1.1000000000000001E-3</v>
      </c>
      <c r="E13">
        <v>1.47E-2</v>
      </c>
      <c r="F13">
        <v>1.7000000000000001E-3</v>
      </c>
      <c r="G13">
        <v>1.5100000000000001E-2</v>
      </c>
      <c r="I13">
        <v>1.95E-2</v>
      </c>
      <c r="K13">
        <f t="shared" si="2"/>
        <v>1.5838319088319078E-2</v>
      </c>
      <c r="L13">
        <f t="shared" si="0"/>
        <v>5.9785752518026314E-2</v>
      </c>
      <c r="N13" s="27" t="s">
        <v>124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0.49485933785322866</v>
      </c>
      <c r="S13" s="27">
        <v>-0.2121494212200162</v>
      </c>
      <c r="T13" s="27">
        <v>0.10264748644649238</v>
      </c>
    </row>
    <row r="14" spans="1:23">
      <c r="A14">
        <v>196402</v>
      </c>
      <c r="B14">
        <f>'10-T-weights5'!B10</f>
        <v>1.8000000000000002E-2</v>
      </c>
      <c r="C14">
        <f t="shared" si="1"/>
        <v>1.433831908831908E-2</v>
      </c>
      <c r="D14">
        <v>3.0000000000000001E-3</v>
      </c>
      <c r="E14">
        <v>2.7400000000000004E-2</v>
      </c>
      <c r="F14">
        <v>-5.0000000000000001E-4</v>
      </c>
      <c r="G14">
        <v>9.0000000000000011E-3</v>
      </c>
      <c r="I14">
        <v>3.5400000000000001E-2</v>
      </c>
      <c r="K14">
        <f t="shared" si="2"/>
        <v>3.1738319088319082E-2</v>
      </c>
      <c r="L14">
        <f t="shared" si="0"/>
        <v>2.8214298628839243E-2</v>
      </c>
    </row>
    <row r="15" spans="1:23">
      <c r="A15">
        <v>196403</v>
      </c>
      <c r="B15">
        <f>'10-T-weights5'!B11</f>
        <v>1.72E-2</v>
      </c>
      <c r="C15">
        <f t="shared" si="1"/>
        <v>1.3538319088319078E-2</v>
      </c>
      <c r="D15">
        <v>1.3600000000000001E-2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2"/>
        <v>3.213831908831908E-2</v>
      </c>
      <c r="L15">
        <f t="shared" si="0"/>
        <v>5.2438534403587991E-2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1"/>
        <v>2.3831908831907804E-4</v>
      </c>
      <c r="D16">
        <v>-1.5900000000000001E-2</v>
      </c>
      <c r="E16">
        <v>-5.7999999999999996E-3</v>
      </c>
      <c r="F16">
        <v>-1.2700000000000001E-2</v>
      </c>
      <c r="G16">
        <v>-1.0400000000000001E-2</v>
      </c>
      <c r="I16">
        <v>-5.1000000000000004E-3</v>
      </c>
      <c r="K16">
        <f t="shared" si="2"/>
        <v>-8.7616809116809226E-3</v>
      </c>
      <c r="L16">
        <f t="shared" si="0"/>
        <v>-5.9570191260422768E-2</v>
      </c>
      <c r="N16" s="20" t="s">
        <v>1167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1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1.4000000000000002E-3</v>
      </c>
      <c r="I17">
        <v>3.9700000000000006E-2</v>
      </c>
      <c r="K17">
        <f t="shared" si="2"/>
        <v>3.6038319088319087E-2</v>
      </c>
      <c r="L17">
        <f t="shared" si="0"/>
        <v>2.1388337592806246E-3</v>
      </c>
      <c r="N17" s="49">
        <f>INTERCEPT(K7:K708,L7:L708)</f>
        <v>5.7410076496280131E-3</v>
      </c>
    </row>
    <row r="18" spans="1:19">
      <c r="A18">
        <v>196406</v>
      </c>
      <c r="B18">
        <f>'10-T-weights5'!B14</f>
        <v>1.5700000000000002E-2</v>
      </c>
      <c r="C18">
        <f t="shared" si="1"/>
        <v>1.203831908831908E-2</v>
      </c>
      <c r="D18">
        <v>3.0999999999999999E-3</v>
      </c>
      <c r="E18">
        <v>6.3E-3</v>
      </c>
      <c r="F18">
        <v>-2.8000000000000004E-3</v>
      </c>
      <c r="G18">
        <v>-1.5E-3</v>
      </c>
      <c r="I18">
        <v>8.8999999999999999E-3</v>
      </c>
      <c r="K18">
        <f t="shared" si="2"/>
        <v>5.2383190883190777E-3</v>
      </c>
      <c r="L18">
        <f t="shared" si="0"/>
        <v>2.3627383479743729E-3</v>
      </c>
    </row>
    <row r="19" spans="1:19">
      <c r="A19">
        <v>196407</v>
      </c>
      <c r="B19">
        <f>'10-T-weights5'!B15</f>
        <v>2.0399999999999998E-2</v>
      </c>
      <c r="C19">
        <f t="shared" si="1"/>
        <v>1.6738319088319076E-2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2"/>
        <v>3.538319088319078E-3</v>
      </c>
      <c r="L19">
        <f t="shared" si="0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1"/>
        <v>-1.5261680911680921E-2</v>
      </c>
      <c r="D20">
        <v>4.1999999999999997E-3</v>
      </c>
      <c r="E20">
        <v>8.0000000000000004E-4</v>
      </c>
      <c r="F20">
        <v>1.5E-3</v>
      </c>
      <c r="G20">
        <v>3.3000000000000004E-3</v>
      </c>
      <c r="I20">
        <v>-9.1000000000000004E-3</v>
      </c>
      <c r="K20">
        <f t="shared" si="2"/>
        <v>-1.2761680911680923E-2</v>
      </c>
      <c r="L20">
        <f t="shared" si="0"/>
        <v>-1.1708390007790868E-3</v>
      </c>
    </row>
    <row r="21" spans="1:19">
      <c r="A21">
        <v>196409</v>
      </c>
      <c r="B21">
        <f>'10-T-weights5'!B17</f>
        <v>2.9700000000000001E-2</v>
      </c>
      <c r="C21">
        <f t="shared" si="1"/>
        <v>2.6038319088319078E-2</v>
      </c>
      <c r="D21">
        <v>-3.3000000000000004E-3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2"/>
        <v>6.0338319088319083E-2</v>
      </c>
      <c r="L21">
        <f t="shared" si="0"/>
        <v>2.2989634879798423E-2</v>
      </c>
    </row>
    <row r="22" spans="1:19">
      <c r="A22">
        <v>196410</v>
      </c>
      <c r="B22">
        <f>'10-T-weights5'!B18</f>
        <v>8.7999999999999988E-3</v>
      </c>
      <c r="C22">
        <f t="shared" si="1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2"/>
        <v>-3.2616809116809216E-3</v>
      </c>
      <c r="L22">
        <f t="shared" si="0"/>
        <v>1.0864767577733959E-2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1"/>
        <v>-7.6168091168092198E-4</v>
      </c>
      <c r="D23">
        <v>-1.5E-3</v>
      </c>
      <c r="E23">
        <v>-1.9599999999999999E-2</v>
      </c>
      <c r="F23">
        <v>6.1999999999999998E-3</v>
      </c>
      <c r="G23">
        <v>-2.6000000000000003E-3</v>
      </c>
      <c r="I23">
        <v>1E-4</v>
      </c>
      <c r="K23">
        <f t="shared" si="2"/>
        <v>-3.561680911680922E-3</v>
      </c>
      <c r="L23">
        <f t="shared" si="0"/>
        <v>1.0874159121208026E-2</v>
      </c>
    </row>
    <row r="24" spans="1:19">
      <c r="A24">
        <v>196412</v>
      </c>
      <c r="B24">
        <f>'10-T-weights5'!B20</f>
        <v>3.3999999999999998E-3</v>
      </c>
      <c r="C24">
        <f t="shared" si="1"/>
        <v>-2.6168091168092197E-4</v>
      </c>
      <c r="D24">
        <v>-6.9999999999999993E-3</v>
      </c>
      <c r="E24">
        <v>-2.4799999999999999E-2</v>
      </c>
      <c r="F24">
        <v>1.0400000000000001E-2</v>
      </c>
      <c r="G24">
        <v>-1.4800000000000001E-2</v>
      </c>
      <c r="I24">
        <v>-8.0000000000000002E-3</v>
      </c>
      <c r="K24">
        <f t="shared" si="2"/>
        <v>-1.1661680911680922E-2</v>
      </c>
      <c r="L24">
        <f t="shared" si="0"/>
        <v>-1.4767478989982083E-2</v>
      </c>
    </row>
    <row r="25" spans="1:19">
      <c r="A25">
        <v>196501</v>
      </c>
      <c r="B25">
        <f>'10-T-weights5'!B21</f>
        <v>3.8199999999999998E-2</v>
      </c>
      <c r="C25">
        <f t="shared" si="1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2"/>
        <v>4.1638319088319081E-2</v>
      </c>
      <c r="L25">
        <f t="shared" si="0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1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2"/>
        <v>2.4538319088319077E-2</v>
      </c>
      <c r="L26">
        <f t="shared" si="0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1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2.6000000000000003E-3</v>
      </c>
      <c r="K27">
        <f t="shared" si="2"/>
        <v>-1.0616809116809215E-3</v>
      </c>
      <c r="L27">
        <f t="shared" si="0"/>
        <v>9.0417750989245579E-3</v>
      </c>
    </row>
    <row r="28" spans="1:19">
      <c r="A28">
        <v>196504</v>
      </c>
      <c r="B28">
        <f>'10-T-weights5'!B24</f>
        <v>3.4200000000000001E-2</v>
      </c>
      <c r="C28">
        <f t="shared" si="1"/>
        <v>3.0538319088319079E-2</v>
      </c>
      <c r="D28">
        <v>1.11E-2</v>
      </c>
      <c r="E28">
        <v>6.6000000000000008E-3</v>
      </c>
      <c r="F28">
        <v>4.0999999999999995E-3</v>
      </c>
      <c r="G28">
        <v>-2.2700000000000001E-2</v>
      </c>
      <c r="I28">
        <v>5.0700000000000002E-2</v>
      </c>
      <c r="K28">
        <f t="shared" si="2"/>
        <v>4.7038319088319083E-2</v>
      </c>
      <c r="L28">
        <f t="shared" si="0"/>
        <v>-1.7189603190153474E-2</v>
      </c>
    </row>
    <row r="29" spans="1:19">
      <c r="A29">
        <v>196505</v>
      </c>
      <c r="B29">
        <f>'10-T-weights5'!B25</f>
        <v>-4.5999999999999999E-3</v>
      </c>
      <c r="C29">
        <f t="shared" si="1"/>
        <v>-8.2616809116809221E-3</v>
      </c>
      <c r="D29">
        <v>1.3000000000000002E-3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2"/>
        <v>-9.8616809116809211E-3</v>
      </c>
      <c r="L29">
        <f t="shared" si="0"/>
        <v>4.9327641358086257E-3</v>
      </c>
    </row>
    <row r="30" spans="1:19">
      <c r="A30">
        <v>196506</v>
      </c>
      <c r="B30">
        <f>'10-T-weights5'!B26</f>
        <v>-5.1599999999999993E-2</v>
      </c>
      <c r="C30">
        <f t="shared" si="1"/>
        <v>-5.5261680911680912E-2</v>
      </c>
      <c r="D30">
        <v>-4.2800000000000005E-2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2"/>
        <v>-9.7561680911680937E-2</v>
      </c>
      <c r="L30">
        <f t="shared" si="0"/>
        <v>-7.2925278209916691E-2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1"/>
        <v>1.3738319088319077E-2</v>
      </c>
      <c r="D31">
        <v>1.0700000000000001E-2</v>
      </c>
      <c r="E31">
        <v>2.1400000000000002E-2</v>
      </c>
      <c r="F31">
        <v>-1.3700000000000002E-2</v>
      </c>
      <c r="G31">
        <v>2.9999999999999997E-4</v>
      </c>
      <c r="I31">
        <v>7.4800000000000005E-2</v>
      </c>
      <c r="K31">
        <f t="shared" si="2"/>
        <v>7.113831908831908E-2</v>
      </c>
      <c r="L31">
        <f t="shared" si="0"/>
        <v>-1.253331650770461E-2</v>
      </c>
    </row>
    <row r="32" spans="1:19">
      <c r="A32">
        <v>196508</v>
      </c>
      <c r="B32">
        <f>'10-T-weights5'!B28</f>
        <v>3.0600000000000002E-2</v>
      </c>
      <c r="C32">
        <f t="shared" si="1"/>
        <v>2.693831908831908E-2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2"/>
        <v>7.2938319088319076E-2</v>
      </c>
      <c r="L32">
        <f t="shared" si="0"/>
        <v>6.5376079630662887E-2</v>
      </c>
    </row>
    <row r="33" spans="1:23">
      <c r="A33">
        <v>196509</v>
      </c>
      <c r="B33">
        <f>'10-T-weights5'!B29</f>
        <v>3.1699999999999999E-2</v>
      </c>
      <c r="C33">
        <f t="shared" si="1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2"/>
        <v>4.983831908831908E-2</v>
      </c>
      <c r="L33">
        <f t="shared" si="0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1"/>
        <v>2.5438319088319079E-2</v>
      </c>
      <c r="D34">
        <v>3.4700000000000002E-2</v>
      </c>
      <c r="E34">
        <v>1.5700000000000002E-2</v>
      </c>
      <c r="F34">
        <v>1.17E-2</v>
      </c>
      <c r="G34">
        <v>-6.5000000000000006E-3</v>
      </c>
      <c r="I34">
        <v>7.8899999999999998E-2</v>
      </c>
      <c r="K34">
        <f t="shared" si="2"/>
        <v>7.5238319088319072E-2</v>
      </c>
      <c r="L34">
        <f t="shared" si="0"/>
        <v>4.7250405121100417E-2</v>
      </c>
    </row>
    <row r="35" spans="1:23">
      <c r="A35">
        <v>196511</v>
      </c>
      <c r="B35">
        <f>'10-T-weights5'!B31</f>
        <v>3.1999999999999997E-3</v>
      </c>
      <c r="C35">
        <f t="shared" si="1"/>
        <v>-4.6168091168092206E-4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2"/>
        <v>8.1038319088319086E-2</v>
      </c>
      <c r="L35">
        <f t="shared" si="0"/>
        <v>-9.598383477983214E-3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1"/>
        <v>9.7383190883190782E-3</v>
      </c>
      <c r="D36">
        <v>2.6600000000000002E-2</v>
      </c>
      <c r="E36">
        <v>2.0199999999999999E-2</v>
      </c>
      <c r="F36">
        <v>-1.1399999999999999E-2</v>
      </c>
      <c r="G36">
        <v>-5.3E-3</v>
      </c>
      <c r="I36">
        <v>4.0599999999999997E-2</v>
      </c>
      <c r="K36">
        <f t="shared" si="2"/>
        <v>3.6938319088319078E-2</v>
      </c>
      <c r="L36">
        <f t="shared" si="0"/>
        <v>-1.5823572631069264E-2</v>
      </c>
    </row>
    <row r="37" spans="1:23">
      <c r="A37">
        <v>196601</v>
      </c>
      <c r="B37">
        <f>'10-T-weights5'!B33</f>
        <v>1.0999999999999999E-2</v>
      </c>
      <c r="C37">
        <f t="shared" si="1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2"/>
        <v>8.7238319088319069E-2</v>
      </c>
      <c r="L37">
        <f t="shared" si="0"/>
        <v>-3.1017252494577895E-2</v>
      </c>
      <c r="W37" s="30"/>
    </row>
    <row r="38" spans="1:23">
      <c r="A38">
        <v>196602</v>
      </c>
      <c r="B38">
        <f>'10-T-weights5'!B34</f>
        <v>-8.6E-3</v>
      </c>
      <c r="C38">
        <f t="shared" si="1"/>
        <v>-1.2261680911680922E-2</v>
      </c>
      <c r="D38">
        <v>4.7100000000000003E-2</v>
      </c>
      <c r="E38">
        <v>2.8999999999999998E-3</v>
      </c>
      <c r="F38">
        <v>-1.7000000000000001E-3</v>
      </c>
      <c r="G38">
        <v>-1.49E-2</v>
      </c>
      <c r="I38">
        <v>8.2400000000000001E-2</v>
      </c>
      <c r="K38">
        <f t="shared" si="2"/>
        <v>7.8738319088319075E-2</v>
      </c>
      <c r="L38">
        <f t="shared" si="0"/>
        <v>-2.4230608553934996E-2</v>
      </c>
    </row>
    <row r="39" spans="1:23">
      <c r="A39">
        <v>196603</v>
      </c>
      <c r="B39">
        <f>'10-T-weights5'!B35</f>
        <v>-2.1299999999999996E-2</v>
      </c>
      <c r="C39">
        <f t="shared" si="1"/>
        <v>-2.4961680911680918E-2</v>
      </c>
      <c r="D39">
        <v>3.2000000000000002E-3</v>
      </c>
      <c r="E39">
        <v>-0.02</v>
      </c>
      <c r="F39">
        <v>1.3000000000000001E-2</v>
      </c>
      <c r="G39">
        <v>5.9999999999999995E-4</v>
      </c>
      <c r="I39">
        <v>1.0500000000000001E-2</v>
      </c>
      <c r="K39">
        <f t="shared" si="2"/>
        <v>6.8383190883190784E-3</v>
      </c>
      <c r="L39">
        <f t="shared" si="0"/>
        <v>1.1246491911961266E-2</v>
      </c>
    </row>
    <row r="40" spans="1:23">
      <c r="A40">
        <v>196604</v>
      </c>
      <c r="B40">
        <f>'10-T-weights5'!B36</f>
        <v>2.4800000000000003E-2</v>
      </c>
      <c r="C40">
        <f t="shared" si="1"/>
        <v>2.113831908831908E-2</v>
      </c>
      <c r="D40">
        <v>3.3399999999999999E-2</v>
      </c>
      <c r="E40">
        <v>-4.7000000000000002E-3</v>
      </c>
      <c r="F40">
        <v>3.9000000000000003E-3</v>
      </c>
      <c r="G40">
        <v>-9.4999999999999998E-3</v>
      </c>
      <c r="I40">
        <v>5.1200000000000002E-2</v>
      </c>
      <c r="K40">
        <f t="shared" si="2"/>
        <v>4.7538319088319084E-2</v>
      </c>
      <c r="L40">
        <f t="shared" si="0"/>
        <v>2.7777506804798666E-2</v>
      </c>
    </row>
    <row r="41" spans="1:23">
      <c r="A41">
        <v>196605</v>
      </c>
      <c r="B41">
        <f>'10-T-weights5'!B37</f>
        <v>-5.2500000000000005E-2</v>
      </c>
      <c r="C41">
        <f t="shared" si="1"/>
        <v>-5.6161680911680924E-2</v>
      </c>
      <c r="D41">
        <v>-5.0999999999999997E-2</v>
      </c>
      <c r="E41">
        <v>-1.61E-2</v>
      </c>
      <c r="F41">
        <v>1.6399999999999998E-2</v>
      </c>
      <c r="G41">
        <v>-1.52E-2</v>
      </c>
      <c r="I41">
        <v>-0.1104</v>
      </c>
      <c r="K41">
        <f t="shared" si="2"/>
        <v>-0.11406168091168092</v>
      </c>
      <c r="L41">
        <f t="shared" si="0"/>
        <v>-9.3862515726239548E-2</v>
      </c>
    </row>
    <row r="42" spans="1:23">
      <c r="A42">
        <v>196606</v>
      </c>
      <c r="B42">
        <f>'10-T-weights5'!B38</f>
        <v>-1.06E-2</v>
      </c>
      <c r="C42">
        <f t="shared" si="1"/>
        <v>-1.4261680911680922E-2</v>
      </c>
      <c r="D42">
        <v>1.3700000000000002E-2</v>
      </c>
      <c r="E42">
        <v>4.8999999999999998E-3</v>
      </c>
      <c r="F42">
        <v>1.5E-3</v>
      </c>
      <c r="G42">
        <v>7.8000000000000005E-3</v>
      </c>
      <c r="I42">
        <v>3.6000000000000004E-2</v>
      </c>
      <c r="K42">
        <f t="shared" si="2"/>
        <v>3.2338319088319085E-2</v>
      </c>
      <c r="L42">
        <f t="shared" si="0"/>
        <v>1.6553053953634801E-2</v>
      </c>
    </row>
    <row r="43" spans="1:23">
      <c r="A43">
        <v>196607</v>
      </c>
      <c r="B43">
        <f>'10-T-weights5'!B39</f>
        <v>-1.2799999999999999E-2</v>
      </c>
      <c r="C43">
        <f t="shared" si="1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2"/>
        <v>-2.516168091168092E-2</v>
      </c>
      <c r="L43">
        <f t="shared" si="0"/>
        <v>1.7089852239424726E-2</v>
      </c>
    </row>
    <row r="44" spans="1:23">
      <c r="A44">
        <v>196608</v>
      </c>
      <c r="B44">
        <f>'10-T-weights5'!B40</f>
        <v>-7.5000000000000011E-2</v>
      </c>
      <c r="C44">
        <f t="shared" si="1"/>
        <v>-7.8661680911680937E-2</v>
      </c>
      <c r="D44">
        <v>-3.1400000000000004E-2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2"/>
        <v>-9.4261680911680926E-2</v>
      </c>
      <c r="L44">
        <f t="shared" si="0"/>
        <v>-8.3015710784715077E-2</v>
      </c>
    </row>
    <row r="45" spans="1:23">
      <c r="A45">
        <v>196609</v>
      </c>
      <c r="B45">
        <f>'10-T-weights5'!B41</f>
        <v>-6.6E-3</v>
      </c>
      <c r="C45">
        <f t="shared" si="1"/>
        <v>-1.0261680911680922E-2</v>
      </c>
      <c r="D45">
        <v>-1.1399999999999999E-2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2"/>
        <v>-5.2861680911680919E-2</v>
      </c>
      <c r="L45">
        <f t="shared" si="0"/>
        <v>8.2781025365166599E-3</v>
      </c>
    </row>
    <row r="46" spans="1:23">
      <c r="A46">
        <v>196610</v>
      </c>
      <c r="B46">
        <f>'10-T-weights5'!B42</f>
        <v>4.3099999999999999E-2</v>
      </c>
      <c r="C46">
        <f t="shared" si="1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2"/>
        <v>-6.1061680911680925E-2</v>
      </c>
      <c r="L46">
        <f t="shared" si="0"/>
        <v>3.2232720747858046E-2</v>
      </c>
    </row>
    <row r="47" spans="1:23">
      <c r="A47">
        <v>196611</v>
      </c>
      <c r="B47">
        <f>'10-T-weights5'!B43</f>
        <v>1.7999999999999999E-2</v>
      </c>
      <c r="C47">
        <f t="shared" si="1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2"/>
        <v>0.11743831908831907</v>
      </c>
      <c r="L47">
        <f t="shared" si="0"/>
        <v>-4.2677521801712331E-2</v>
      </c>
    </row>
    <row r="48" spans="1:23">
      <c r="A48">
        <v>196612</v>
      </c>
      <c r="B48">
        <f>'10-T-weights5'!B44</f>
        <v>5.3E-3</v>
      </c>
      <c r="C48">
        <f t="shared" si="1"/>
        <v>1.6383190883190782E-3</v>
      </c>
      <c r="D48">
        <v>2.1600000000000001E-2</v>
      </c>
      <c r="E48">
        <v>-1.3200000000000002E-2</v>
      </c>
      <c r="F48">
        <v>6.4000000000000003E-3</v>
      </c>
      <c r="G48">
        <v>-4.5000000000000005E-3</v>
      </c>
      <c r="I48">
        <v>1.41E-2</v>
      </c>
      <c r="K48">
        <f t="shared" si="2"/>
        <v>1.0438319088319077E-2</v>
      </c>
      <c r="L48">
        <f t="shared" si="0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1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2"/>
        <v>7.9138319088319073E-2</v>
      </c>
      <c r="L49">
        <f t="shared" si="0"/>
        <v>6.8846840695529751E-2</v>
      </c>
    </row>
    <row r="50" spans="1:12">
      <c r="A50">
        <v>196702</v>
      </c>
      <c r="B50">
        <f>'10-T-weights5'!B46</f>
        <v>1.14E-2</v>
      </c>
      <c r="C50">
        <f t="shared" si="1"/>
        <v>7.7383190883190782E-3</v>
      </c>
      <c r="D50">
        <v>3.0499999999999999E-2</v>
      </c>
      <c r="E50">
        <v>-2.1800000000000003E-2</v>
      </c>
      <c r="F50">
        <v>2.0499999999999997E-2</v>
      </c>
      <c r="G50">
        <v>-9.5999999999999992E-3</v>
      </c>
      <c r="I50">
        <v>5.2600000000000001E-2</v>
      </c>
      <c r="K50">
        <f t="shared" si="2"/>
        <v>4.8938319088319082E-2</v>
      </c>
      <c r="L50">
        <f t="shared" si="0"/>
        <v>5.0154108129179226E-2</v>
      </c>
    </row>
    <row r="51" spans="1:12">
      <c r="A51">
        <v>196703</v>
      </c>
      <c r="B51">
        <f>'10-T-weights5'!B47</f>
        <v>4.3800000000000006E-2</v>
      </c>
      <c r="C51">
        <f t="shared" si="1"/>
        <v>4.0138319088319087E-2</v>
      </c>
      <c r="D51">
        <v>1.7299999999999999E-2</v>
      </c>
      <c r="E51">
        <v>5.4000000000000003E-3</v>
      </c>
      <c r="F51">
        <v>9.7999999999999997E-3</v>
      </c>
      <c r="G51">
        <v>-1.4499999999999999E-2</v>
      </c>
      <c r="I51">
        <v>6.4000000000000001E-2</v>
      </c>
      <c r="K51">
        <f t="shared" si="2"/>
        <v>6.0338319088319083E-2</v>
      </c>
      <c r="L51">
        <f t="shared" si="0"/>
        <v>2.9536861674765463E-2</v>
      </c>
    </row>
    <row r="52" spans="1:12">
      <c r="A52">
        <v>196704</v>
      </c>
      <c r="B52">
        <f>'10-T-weights5'!B48</f>
        <v>4.2100000000000005E-2</v>
      </c>
      <c r="C52">
        <f t="shared" si="1"/>
        <v>3.8438319088319087E-2</v>
      </c>
      <c r="D52">
        <v>4.1999999999999997E-3</v>
      </c>
      <c r="E52">
        <v>-2.4500000000000001E-2</v>
      </c>
      <c r="F52">
        <v>2.3799999999999998E-2</v>
      </c>
      <c r="G52">
        <v>-3.6400000000000002E-2</v>
      </c>
      <c r="I52">
        <v>6.4200000000000007E-2</v>
      </c>
      <c r="K52">
        <f t="shared" si="2"/>
        <v>6.0538319088319088E-2</v>
      </c>
      <c r="L52">
        <f t="shared" si="0"/>
        <v>-8.4404606766262658E-4</v>
      </c>
    </row>
    <row r="53" spans="1:12">
      <c r="A53">
        <v>196705</v>
      </c>
      <c r="B53">
        <f>'10-T-weights5'!B49</f>
        <v>-0.04</v>
      </c>
      <c r="C53">
        <f t="shared" si="1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-3.1400000000000004E-2</v>
      </c>
      <c r="K53">
        <f t="shared" si="2"/>
        <v>-3.5061680911680923E-2</v>
      </c>
      <c r="L53">
        <f t="shared" si="0"/>
        <v>-1.7375666806188898E-2</v>
      </c>
    </row>
    <row r="54" spans="1:12">
      <c r="A54">
        <v>196706</v>
      </c>
      <c r="B54">
        <f>'10-T-weights5'!B50</f>
        <v>2.6800000000000004E-2</v>
      </c>
      <c r="C54">
        <f t="shared" si="1"/>
        <v>2.3138319088319082E-2</v>
      </c>
      <c r="D54">
        <v>6.4100000000000004E-2</v>
      </c>
      <c r="E54">
        <v>8.5000000000000006E-3</v>
      </c>
      <c r="F54">
        <v>-6.4000000000000003E-3</v>
      </c>
      <c r="G54">
        <v>-2.4100000000000003E-2</v>
      </c>
      <c r="I54">
        <v>8.3500000000000005E-2</v>
      </c>
      <c r="K54">
        <f t="shared" si="2"/>
        <v>7.9838319088319079E-2</v>
      </c>
      <c r="L54">
        <f t="shared" si="0"/>
        <v>-1.279164381025856E-2</v>
      </c>
    </row>
    <row r="55" spans="1:12">
      <c r="A55">
        <v>196707</v>
      </c>
      <c r="B55">
        <f>'10-T-weights5'!B51</f>
        <v>4.8899999999999999E-2</v>
      </c>
      <c r="C55">
        <f t="shared" si="1"/>
        <v>4.523831908831908E-2</v>
      </c>
      <c r="D55">
        <v>3.5200000000000002E-2</v>
      </c>
      <c r="E55">
        <v>2.7200000000000002E-2</v>
      </c>
      <c r="F55">
        <v>5.2000000000000006E-3</v>
      </c>
      <c r="G55">
        <v>2.7000000000000003E-2</v>
      </c>
      <c r="I55">
        <v>7.2900000000000006E-2</v>
      </c>
      <c r="K55">
        <f t="shared" si="2"/>
        <v>6.9238319088319081E-2</v>
      </c>
      <c r="L55">
        <f t="shared" si="0"/>
        <v>0.13947856678946982</v>
      </c>
    </row>
    <row r="56" spans="1:12">
      <c r="A56">
        <v>196708</v>
      </c>
      <c r="B56">
        <f>'10-T-weights5'!B52</f>
        <v>-5.7999999999999996E-3</v>
      </c>
      <c r="C56">
        <f t="shared" si="1"/>
        <v>-9.4616809116809218E-3</v>
      </c>
      <c r="D56">
        <v>6.7000000000000002E-3</v>
      </c>
      <c r="E56">
        <v>1.52E-2</v>
      </c>
      <c r="F56">
        <v>3.5999999999999999E-3</v>
      </c>
      <c r="G56">
        <v>1.4499999999999999E-2</v>
      </c>
      <c r="I56">
        <v>-1.77E-2</v>
      </c>
      <c r="K56">
        <f t="shared" si="2"/>
        <v>-2.1361680911680923E-2</v>
      </c>
      <c r="L56">
        <f t="shared" si="0"/>
        <v>3.4144473765380476E-2</v>
      </c>
    </row>
    <row r="57" spans="1:12">
      <c r="A57">
        <v>196709</v>
      </c>
      <c r="B57">
        <f>'10-T-weights5'!B53</f>
        <v>3.4299999999999997E-2</v>
      </c>
      <c r="C57">
        <f t="shared" si="1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2"/>
        <v>4.133831908831908E-2</v>
      </c>
      <c r="L57">
        <f t="shared" si="0"/>
        <v>3.5951550871282115E-2</v>
      </c>
    </row>
    <row r="58" spans="1:12">
      <c r="A58">
        <v>196710</v>
      </c>
      <c r="B58">
        <f>'10-T-weights5'!B54</f>
        <v>-2.7E-2</v>
      </c>
      <c r="C58">
        <f t="shared" si="1"/>
        <v>-3.0661680911680922E-2</v>
      </c>
      <c r="D58">
        <v>4.7000000000000002E-3</v>
      </c>
      <c r="E58">
        <v>-3.2199999999999999E-2</v>
      </c>
      <c r="F58">
        <v>1.0700000000000001E-2</v>
      </c>
      <c r="G58">
        <v>-2.6200000000000001E-2</v>
      </c>
      <c r="I58">
        <v>6.8000000000000005E-3</v>
      </c>
      <c r="K58">
        <f t="shared" si="2"/>
        <v>3.1383190883190787E-3</v>
      </c>
      <c r="L58">
        <f t="shared" si="0"/>
        <v>-6.3930542465348017E-2</v>
      </c>
    </row>
    <row r="59" spans="1:12">
      <c r="A59">
        <v>196711</v>
      </c>
      <c r="B59">
        <f>'10-T-weights5'!B55</f>
        <v>7.3000000000000001E-3</v>
      </c>
      <c r="C59">
        <f t="shared" si="1"/>
        <v>3.6383190883190783E-3</v>
      </c>
      <c r="D59">
        <v>-5.9999999999999995E-4</v>
      </c>
      <c r="E59">
        <v>-1.6899999999999998E-2</v>
      </c>
      <c r="F59">
        <v>1.3500000000000002E-2</v>
      </c>
      <c r="G59">
        <v>-2.3400000000000001E-2</v>
      </c>
      <c r="I59">
        <v>1.1399999999999999E-2</v>
      </c>
      <c r="K59">
        <f t="shared" si="2"/>
        <v>7.7383190883190765E-3</v>
      </c>
      <c r="L59">
        <f t="shared" si="0"/>
        <v>-2.6755515063791722E-2</v>
      </c>
    </row>
    <row r="60" spans="1:12">
      <c r="A60">
        <v>196712</v>
      </c>
      <c r="B60">
        <f>'10-T-weights5'!B56</f>
        <v>3.3799999999999997E-2</v>
      </c>
      <c r="C60">
        <f t="shared" si="1"/>
        <v>3.0138319088319074E-2</v>
      </c>
      <c r="D60">
        <v>5.7800000000000004E-2</v>
      </c>
      <c r="E60">
        <v>-6.3E-3</v>
      </c>
      <c r="F60">
        <v>-8.199999999999999E-3</v>
      </c>
      <c r="G60">
        <v>1.3000000000000002E-3</v>
      </c>
      <c r="I60">
        <v>9.0700000000000003E-2</v>
      </c>
      <c r="K60">
        <f t="shared" si="2"/>
        <v>8.7038319088319077E-2</v>
      </c>
      <c r="L60">
        <f t="shared" si="0"/>
        <v>5.9988658900667992E-2</v>
      </c>
    </row>
    <row r="61" spans="1:12">
      <c r="A61">
        <v>196801</v>
      </c>
      <c r="B61">
        <f>'10-T-weights5'!B57</f>
        <v>-3.6599999999999994E-2</v>
      </c>
      <c r="C61">
        <f t="shared" si="1"/>
        <v>-4.0261680911680912E-2</v>
      </c>
      <c r="D61">
        <v>4.4800000000000006E-2</v>
      </c>
      <c r="E61">
        <v>4.8399999999999999E-2</v>
      </c>
      <c r="F61">
        <v>-4.5899999999999996E-2</v>
      </c>
      <c r="G61">
        <v>6.4600000000000005E-2</v>
      </c>
      <c r="I61">
        <v>-7.1199999999999999E-2</v>
      </c>
      <c r="K61">
        <f t="shared" si="2"/>
        <v>-7.4861680911680925E-2</v>
      </c>
      <c r="L61">
        <f t="shared" si="0"/>
        <v>5.6038538771188182E-2</v>
      </c>
    </row>
    <row r="62" spans="1:12">
      <c r="A62">
        <v>196802</v>
      </c>
      <c r="B62">
        <f>'10-T-weights5'!B58</f>
        <v>-3.3599999999999998E-2</v>
      </c>
      <c r="C62">
        <f t="shared" si="1"/>
        <v>-3.7261680911680917E-2</v>
      </c>
      <c r="D62">
        <v>-2.92E-2</v>
      </c>
      <c r="E62">
        <v>1.3300000000000001E-2</v>
      </c>
      <c r="F62">
        <v>-1.4000000000000002E-3</v>
      </c>
      <c r="G62">
        <v>2.4500000000000001E-2</v>
      </c>
      <c r="I62">
        <v>-9.0299999999999991E-2</v>
      </c>
      <c r="K62">
        <f t="shared" si="2"/>
        <v>-9.3961680911680917E-2</v>
      </c>
      <c r="L62">
        <f t="shared" si="0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1"/>
        <v>2.1383190883190778E-3</v>
      </c>
      <c r="D63">
        <v>-1.6E-2</v>
      </c>
      <c r="E63">
        <v>-5.8999999999999999E-3</v>
      </c>
      <c r="F63">
        <v>1.06E-2</v>
      </c>
      <c r="G63">
        <v>-1.1000000000000001E-2</v>
      </c>
      <c r="I63">
        <v>2.7400000000000004E-2</v>
      </c>
      <c r="K63">
        <f t="shared" si="2"/>
        <v>2.3738319088319082E-2</v>
      </c>
      <c r="L63">
        <f t="shared" si="0"/>
        <v>-1.5674036886696802E-2</v>
      </c>
    </row>
    <row r="64" spans="1:12">
      <c r="A64">
        <v>196804</v>
      </c>
      <c r="B64">
        <f>'10-T-weights5'!B60</f>
        <v>9.4800000000000009E-2</v>
      </c>
      <c r="C64">
        <f t="shared" si="1"/>
        <v>9.1138319088319084E-2</v>
      </c>
      <c r="D64">
        <v>6.1800000000000001E-2</v>
      </c>
      <c r="E64">
        <v>-1.17E-2</v>
      </c>
      <c r="F64">
        <v>2.7000000000000003E-2</v>
      </c>
      <c r="G64">
        <v>-3.6499999999999998E-2</v>
      </c>
      <c r="I64">
        <v>0.19489999999999999</v>
      </c>
      <c r="K64">
        <f t="shared" si="2"/>
        <v>0.19123831908831906</v>
      </c>
      <c r="L64">
        <f t="shared" si="0"/>
        <v>9.1449093634633619E-2</v>
      </c>
    </row>
    <row r="65" spans="1:12">
      <c r="A65">
        <v>196805</v>
      </c>
      <c r="B65">
        <f>'10-T-weights5'!B61</f>
        <v>2.7299999999999998E-2</v>
      </c>
      <c r="C65">
        <f t="shared" si="1"/>
        <v>2.3638319088319076E-2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0.10220000000000001</v>
      </c>
      <c r="K65">
        <f t="shared" si="2"/>
        <v>9.8538319088319087E-2</v>
      </c>
      <c r="L65">
        <f t="shared" si="0"/>
        <v>2.3947402962082844E-2</v>
      </c>
    </row>
    <row r="66" spans="1:12">
      <c r="A66">
        <v>196806</v>
      </c>
      <c r="B66">
        <f>'10-T-weights5'!B62</f>
        <v>1.12E-2</v>
      </c>
      <c r="C66">
        <f t="shared" si="1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2"/>
        <v>5.0383190883190772E-3</v>
      </c>
      <c r="L66">
        <f t="shared" si="0"/>
        <v>5.0468588165298173E-2</v>
      </c>
    </row>
    <row r="67" spans="1:12">
      <c r="A67">
        <v>196807</v>
      </c>
      <c r="B67">
        <f>'10-T-weights5'!B63</f>
        <v>-2.2400000000000003E-2</v>
      </c>
      <c r="C67">
        <f t="shared" si="1"/>
        <v>-2.6061680911680925E-2</v>
      </c>
      <c r="D67">
        <v>-1.4199999999999999E-2</v>
      </c>
      <c r="E67">
        <v>5.3899999999999997E-2</v>
      </c>
      <c r="F67">
        <v>-3.1400000000000004E-2</v>
      </c>
      <c r="G67">
        <v>3.6400000000000002E-2</v>
      </c>
      <c r="I67">
        <v>-4.3899999999999995E-2</v>
      </c>
      <c r="K67">
        <f t="shared" si="2"/>
        <v>-4.7561680911680913E-2</v>
      </c>
      <c r="L67">
        <f t="shared" si="0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1"/>
        <v>1.3938319088319079E-2</v>
      </c>
      <c r="D68">
        <v>2.2599999999999999E-2</v>
      </c>
      <c r="E68">
        <v>0.01</v>
      </c>
      <c r="F68">
        <v>-6.9999999999999993E-3</v>
      </c>
      <c r="G68">
        <v>4.5000000000000005E-3</v>
      </c>
      <c r="I68">
        <v>4.7100000000000003E-2</v>
      </c>
      <c r="K68">
        <f t="shared" si="2"/>
        <v>4.3438319088319084E-2</v>
      </c>
      <c r="L68">
        <f t="shared" si="0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1"/>
        <v>4.0938319088319082E-2</v>
      </c>
      <c r="D69">
        <v>2.8399999999999998E-2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2"/>
        <v>9.6538319088319072E-2</v>
      </c>
      <c r="L69">
        <f t="shared" si="0"/>
        <v>4.5086755371913562E-2</v>
      </c>
    </row>
    <row r="70" spans="1:12">
      <c r="A70">
        <v>196810</v>
      </c>
      <c r="B70">
        <f>'10-T-weights5'!B66</f>
        <v>8.6E-3</v>
      </c>
      <c r="C70">
        <f t="shared" si="1"/>
        <v>4.9383190883190778E-3</v>
      </c>
      <c r="D70">
        <v>-3.8E-3</v>
      </c>
      <c r="E70">
        <v>2.86E-2</v>
      </c>
      <c r="F70">
        <v>-1.3200000000000002E-2</v>
      </c>
      <c r="G70">
        <v>2.53E-2</v>
      </c>
      <c r="I70">
        <v>-1.6E-2</v>
      </c>
      <c r="K70">
        <f t="shared" si="2"/>
        <v>-1.9661680911680923E-2</v>
      </c>
      <c r="L70">
        <f t="shared" si="0"/>
        <v>3.3208639661467504E-2</v>
      </c>
    </row>
    <row r="71" spans="1:12">
      <c r="A71">
        <v>196811</v>
      </c>
      <c r="B71">
        <f>'10-T-weights5'!B67</f>
        <v>5.8500000000000003E-2</v>
      </c>
      <c r="C71">
        <f t="shared" si="1"/>
        <v>5.4838319088319085E-2</v>
      </c>
      <c r="D71">
        <v>2.4100000000000003E-2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si="2"/>
        <v>9.6138319088319074E-2</v>
      </c>
      <c r="L71">
        <f t="shared" ref="L71:L134" si="3">SUMPRODUCT($L$3:$P$3,C71:G71)</f>
        <v>2.3013494573721517E-2</v>
      </c>
    </row>
    <row r="72" spans="1:12">
      <c r="A72">
        <v>196812</v>
      </c>
      <c r="B72">
        <f>'10-T-weights5'!B68</f>
        <v>-3.5099999999999999E-2</v>
      </c>
      <c r="C72">
        <f t="shared" ref="C72:C135" si="4">B72-$H$3</f>
        <v>-3.8761680911680918E-2</v>
      </c>
      <c r="D72">
        <v>3.56E-2</v>
      </c>
      <c r="E72">
        <v>-1E-4</v>
      </c>
      <c r="F72">
        <v>-1.8600000000000002E-2</v>
      </c>
      <c r="G72">
        <v>1.7000000000000001E-2</v>
      </c>
      <c r="I72">
        <v>-2.86E-2</v>
      </c>
      <c r="K72">
        <f t="shared" ref="K72:K135" si="5">I72-$H$3</f>
        <v>-3.2261680911680919E-2</v>
      </c>
      <c r="L72">
        <f t="shared" si="3"/>
        <v>-4.274672414838851E-3</v>
      </c>
    </row>
    <row r="73" spans="1:12">
      <c r="A73">
        <v>196901</v>
      </c>
      <c r="B73">
        <f>'10-T-weights5'!B69</f>
        <v>-7.2000000000000007E-3</v>
      </c>
      <c r="C73">
        <f t="shared" si="4"/>
        <v>-1.0861680911680922E-2</v>
      </c>
      <c r="D73">
        <v>-4.5000000000000005E-3</v>
      </c>
      <c r="E73">
        <v>1.6799999999999999E-2</v>
      </c>
      <c r="F73">
        <v>-1.5500000000000002E-2</v>
      </c>
      <c r="G73">
        <v>1.3700000000000002E-2</v>
      </c>
      <c r="I73">
        <v>-2.0299999999999999E-2</v>
      </c>
      <c r="K73">
        <f t="shared" si="5"/>
        <v>-2.3961680911680921E-2</v>
      </c>
      <c r="L73">
        <f t="shared" si="3"/>
        <v>-1.3376561773686818E-2</v>
      </c>
    </row>
    <row r="74" spans="1:12">
      <c r="A74">
        <v>196902</v>
      </c>
      <c r="B74">
        <f>'10-T-weights5'!B70</f>
        <v>-5.3800000000000001E-2</v>
      </c>
      <c r="C74">
        <f t="shared" si="4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7.8000000000000005E-3</v>
      </c>
      <c r="I74">
        <v>-9.6700000000000008E-2</v>
      </c>
      <c r="K74">
        <f t="shared" si="5"/>
        <v>-0.10036168091168093</v>
      </c>
      <c r="L74">
        <f t="shared" si="3"/>
        <v>-2.9935781168110957E-2</v>
      </c>
    </row>
    <row r="75" spans="1:12">
      <c r="A75">
        <v>196903</v>
      </c>
      <c r="B75">
        <f>'10-T-weights5'!B71</f>
        <v>3.1000000000000003E-2</v>
      </c>
      <c r="C75">
        <f t="shared" si="4"/>
        <v>2.7338319088319081E-2</v>
      </c>
      <c r="D75">
        <v>-4.1999999999999997E-3</v>
      </c>
      <c r="E75">
        <v>-5.2000000000000006E-3</v>
      </c>
      <c r="F75">
        <v>-1.4199999999999999E-2</v>
      </c>
      <c r="G75">
        <v>-4.5999999999999999E-3</v>
      </c>
      <c r="I75">
        <v>5.7699999999999994E-2</v>
      </c>
      <c r="K75">
        <f t="shared" si="5"/>
        <v>5.4038319088319076E-2</v>
      </c>
      <c r="L75">
        <f t="shared" si="3"/>
        <v>-1.2192381496969973E-2</v>
      </c>
    </row>
    <row r="76" spans="1:12">
      <c r="A76">
        <v>196904</v>
      </c>
      <c r="B76">
        <f>'10-T-weights5'!B72</f>
        <v>1.9900000000000001E-2</v>
      </c>
      <c r="C76">
        <f t="shared" si="4"/>
        <v>1.6238319088319079E-2</v>
      </c>
      <c r="D76">
        <v>-8.3000000000000001E-3</v>
      </c>
      <c r="E76">
        <v>-2.9999999999999997E-4</v>
      </c>
      <c r="F76">
        <v>4.0999999999999995E-3</v>
      </c>
      <c r="G76">
        <v>2.3E-3</v>
      </c>
      <c r="I76">
        <v>3.2400000000000005E-2</v>
      </c>
      <c r="K76">
        <f t="shared" si="5"/>
        <v>2.8738319088319083E-2</v>
      </c>
      <c r="L76">
        <f t="shared" si="3"/>
        <v>2.4511556848122475E-2</v>
      </c>
    </row>
    <row r="77" spans="1:12">
      <c r="A77">
        <v>196905</v>
      </c>
      <c r="B77">
        <f>'10-T-weights5'!B73</f>
        <v>3.7999999999999996E-3</v>
      </c>
      <c r="C77">
        <f t="shared" si="4"/>
        <v>1.3831908831907777E-4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2.6000000000000002E-2</v>
      </c>
      <c r="K77">
        <f t="shared" si="5"/>
        <v>2.233831908831908E-2</v>
      </c>
      <c r="L77">
        <f t="shared" si="3"/>
        <v>1.1868444165442318E-2</v>
      </c>
    </row>
    <row r="78" spans="1:12">
      <c r="A78">
        <v>196906</v>
      </c>
      <c r="B78">
        <f>'10-T-weights5'!B74</f>
        <v>-6.6700000000000009E-2</v>
      </c>
      <c r="C78">
        <f t="shared" si="4"/>
        <v>-7.0361680911680935E-2</v>
      </c>
      <c r="D78">
        <v>-5.5E-2</v>
      </c>
      <c r="E78">
        <v>-1.0900000000000002E-2</v>
      </c>
      <c r="F78">
        <v>4.3200000000000002E-2</v>
      </c>
      <c r="G78">
        <v>-1.5300000000000001E-2</v>
      </c>
      <c r="I78">
        <v>-0.11550000000000001</v>
      </c>
      <c r="K78">
        <f t="shared" si="5"/>
        <v>-0.11916168091168093</v>
      </c>
      <c r="L78">
        <f t="shared" si="3"/>
        <v>-6.2981344222920427E-2</v>
      </c>
    </row>
    <row r="79" spans="1:12">
      <c r="A79">
        <v>196907</v>
      </c>
      <c r="B79">
        <f>'10-T-weights5'!B75</f>
        <v>-6.4700000000000008E-2</v>
      </c>
      <c r="C79">
        <f t="shared" si="4"/>
        <v>-6.8361680911680933E-2</v>
      </c>
      <c r="D79">
        <v>-3.39E-2</v>
      </c>
      <c r="E79">
        <v>1.18E-2</v>
      </c>
      <c r="F79">
        <v>1.4499999999999999E-2</v>
      </c>
      <c r="G79">
        <v>1.9300000000000001E-2</v>
      </c>
      <c r="I79">
        <v>-6.9199999999999998E-2</v>
      </c>
      <c r="K79">
        <f t="shared" si="5"/>
        <v>-7.2861680911680923E-2</v>
      </c>
      <c r="L79">
        <f t="shared" si="3"/>
        <v>-1.7763128077782707E-2</v>
      </c>
    </row>
    <row r="80" spans="1:12">
      <c r="A80">
        <v>196908</v>
      </c>
      <c r="B80">
        <f>'10-T-weights5'!B76</f>
        <v>5.1799999999999999E-2</v>
      </c>
      <c r="C80">
        <f t="shared" si="4"/>
        <v>4.813831908831908E-2</v>
      </c>
      <c r="D80">
        <v>6.6000000000000008E-3</v>
      </c>
      <c r="E80">
        <v>-3.7700000000000004E-2</v>
      </c>
      <c r="F80">
        <v>1.17E-2</v>
      </c>
      <c r="G80">
        <v>-4.0399999999999998E-2</v>
      </c>
      <c r="I80">
        <v>0.10470000000000002</v>
      </c>
      <c r="K80">
        <f t="shared" si="5"/>
        <v>0.10103831908831909</v>
      </c>
      <c r="L80">
        <f t="shared" si="3"/>
        <v>-1.7431362750749663E-2</v>
      </c>
    </row>
    <row r="81" spans="1:12">
      <c r="A81">
        <v>196909</v>
      </c>
      <c r="B81">
        <f>'10-T-weights5'!B77</f>
        <v>-2.3599999999999999E-2</v>
      </c>
      <c r="C81">
        <f t="shared" si="4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-2.8399999999999998E-2</v>
      </c>
      <c r="K81">
        <f t="shared" si="5"/>
        <v>-3.206168091168092E-2</v>
      </c>
      <c r="L81">
        <f t="shared" si="3"/>
        <v>3.8226411707702926E-2</v>
      </c>
    </row>
    <row r="82" spans="1:12">
      <c r="A82">
        <v>196910</v>
      </c>
      <c r="B82">
        <f>'10-T-weights5'!B78</f>
        <v>5.6599999999999998E-2</v>
      </c>
      <c r="C82">
        <f t="shared" si="4"/>
        <v>5.2938319088319079E-2</v>
      </c>
      <c r="D82">
        <v>3.9100000000000003E-2</v>
      </c>
      <c r="E82">
        <v>-3.1000000000000003E-2</v>
      </c>
      <c r="F82">
        <v>1.1999999999999999E-3</v>
      </c>
      <c r="G82">
        <v>-2.1400000000000002E-2</v>
      </c>
      <c r="I82">
        <v>6.6699999999999995E-2</v>
      </c>
      <c r="K82">
        <f t="shared" si="5"/>
        <v>6.303831908831907E-2</v>
      </c>
      <c r="L82">
        <f t="shared" si="3"/>
        <v>3.7467251125356454E-2</v>
      </c>
    </row>
    <row r="83" spans="1:12">
      <c r="A83">
        <v>196911</v>
      </c>
      <c r="B83">
        <f>'10-T-weights5'!B79</f>
        <v>-3.27E-2</v>
      </c>
      <c r="C83">
        <f t="shared" si="4"/>
        <v>-3.6361680911680919E-2</v>
      </c>
      <c r="D83">
        <v>-2.4500000000000001E-2</v>
      </c>
      <c r="E83">
        <v>-1.21E-2</v>
      </c>
      <c r="F83">
        <v>1.4499999999999999E-2</v>
      </c>
      <c r="G83">
        <v>2.8000000000000004E-3</v>
      </c>
      <c r="I83">
        <v>-3.9000000000000003E-3</v>
      </c>
      <c r="K83">
        <f t="shared" si="5"/>
        <v>-7.561680911680922E-3</v>
      </c>
      <c r="L83">
        <f t="shared" si="3"/>
        <v>-1.3493361375677995E-2</v>
      </c>
    </row>
    <row r="84" spans="1:12">
      <c r="A84">
        <v>196912</v>
      </c>
      <c r="B84">
        <f>'10-T-weights5'!B80</f>
        <v>-1.9900000000000001E-2</v>
      </c>
      <c r="C84">
        <f t="shared" si="4"/>
        <v>-2.3561680911680923E-2</v>
      </c>
      <c r="D84">
        <v>-3.7700000000000004E-2</v>
      </c>
      <c r="E84">
        <v>-2.8399999999999998E-2</v>
      </c>
      <c r="F84">
        <v>2.5400000000000002E-2</v>
      </c>
      <c r="G84">
        <v>-1.78E-2</v>
      </c>
      <c r="I84">
        <v>1.2700000000000001E-2</v>
      </c>
      <c r="K84">
        <f t="shared" si="5"/>
        <v>9.038319088319079E-3</v>
      </c>
      <c r="L84">
        <f t="shared" si="3"/>
        <v>-3.7309578554047033E-2</v>
      </c>
    </row>
    <row r="85" spans="1:12">
      <c r="A85">
        <v>197001</v>
      </c>
      <c r="B85">
        <f>'10-T-weights5'!B81</f>
        <v>-7.4999999999999997E-2</v>
      </c>
      <c r="C85">
        <f t="shared" si="4"/>
        <v>-7.8661680911680923E-2</v>
      </c>
      <c r="D85">
        <v>3.1300000000000001E-2</v>
      </c>
      <c r="E85">
        <v>3.1200000000000002E-2</v>
      </c>
      <c r="F85">
        <v>-1.7100000000000001E-2</v>
      </c>
      <c r="G85">
        <v>3.85E-2</v>
      </c>
      <c r="I85">
        <v>-7.0499999999999993E-2</v>
      </c>
      <c r="K85">
        <f t="shared" si="5"/>
        <v>-7.4161680911680919E-2</v>
      </c>
      <c r="L85">
        <f t="shared" si="3"/>
        <v>9.2602973793542986E-5</v>
      </c>
    </row>
    <row r="86" spans="1:12">
      <c r="A86">
        <v>197002</v>
      </c>
      <c r="B86">
        <f>'10-T-weights5'!B82</f>
        <v>5.7499999999999996E-2</v>
      </c>
      <c r="C86">
        <f t="shared" si="4"/>
        <v>5.3838319088319077E-2</v>
      </c>
      <c r="D86">
        <v>-2.7400000000000004E-2</v>
      </c>
      <c r="E86">
        <v>3.9300000000000002E-2</v>
      </c>
      <c r="F86">
        <v>-2.3199999999999998E-2</v>
      </c>
      <c r="G86">
        <v>2.7400000000000004E-2</v>
      </c>
      <c r="I86">
        <v>3.1899999999999998E-2</v>
      </c>
      <c r="K86">
        <f t="shared" si="5"/>
        <v>2.8238319088319076E-2</v>
      </c>
      <c r="L86">
        <f t="shared" si="3"/>
        <v>4.8620914574424072E-2</v>
      </c>
    </row>
    <row r="87" spans="1:12">
      <c r="A87">
        <v>197003</v>
      </c>
      <c r="B87">
        <f>'10-T-weights5'!B83</f>
        <v>-4.9000000000000007E-3</v>
      </c>
      <c r="C87">
        <f t="shared" si="4"/>
        <v>-8.5616809116809221E-3</v>
      </c>
      <c r="D87">
        <v>-2.4E-2</v>
      </c>
      <c r="E87">
        <v>3.9900000000000005E-2</v>
      </c>
      <c r="F87">
        <v>-1.01E-2</v>
      </c>
      <c r="G87">
        <v>4.3200000000000002E-2</v>
      </c>
      <c r="I87">
        <v>-2.98E-2</v>
      </c>
      <c r="K87">
        <f t="shared" si="5"/>
        <v>-3.3461680911680919E-2</v>
      </c>
      <c r="L87">
        <f t="shared" si="3"/>
        <v>5.474396514172418E-2</v>
      </c>
    </row>
    <row r="88" spans="1:12">
      <c r="A88">
        <v>197004</v>
      </c>
      <c r="B88">
        <f>'10-T-weights5'!B84</f>
        <v>-0.105</v>
      </c>
      <c r="C88">
        <f t="shared" si="4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-0.11410000000000001</v>
      </c>
      <c r="K88">
        <f t="shared" si="5"/>
        <v>-0.11776168091168093</v>
      </c>
      <c r="L88">
        <f t="shared" si="3"/>
        <v>-2.3633168288246659E-2</v>
      </c>
    </row>
    <row r="89" spans="1:12">
      <c r="A89">
        <v>197005</v>
      </c>
      <c r="B89">
        <f>'10-T-weights5'!B85</f>
        <v>-6.3899999999999998E-2</v>
      </c>
      <c r="C89">
        <f t="shared" si="4"/>
        <v>-6.7561680911680924E-2</v>
      </c>
      <c r="D89">
        <v>-4.4500000000000005E-2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5"/>
        <v>-6.6561680911680923E-2</v>
      </c>
      <c r="L89">
        <f t="shared" si="3"/>
        <v>-3.0550237333586083E-2</v>
      </c>
    </row>
    <row r="90" spans="1:12">
      <c r="A90">
        <v>197006</v>
      </c>
      <c r="B90">
        <f>'10-T-weights5'!B86</f>
        <v>-5.21E-2</v>
      </c>
      <c r="C90">
        <f t="shared" si="4"/>
        <v>-5.5761680911680919E-2</v>
      </c>
      <c r="D90">
        <v>-2.2100000000000002E-2</v>
      </c>
      <c r="E90">
        <v>6.0000000000000001E-3</v>
      </c>
      <c r="F90">
        <v>1.3000000000000002E-3</v>
      </c>
      <c r="G90">
        <v>2.9700000000000004E-2</v>
      </c>
      <c r="I90">
        <v>-9.4000000000000004E-3</v>
      </c>
      <c r="K90">
        <f t="shared" si="5"/>
        <v>-1.3061680911680923E-2</v>
      </c>
      <c r="L90">
        <f t="shared" si="3"/>
        <v>8.0861900325109176E-3</v>
      </c>
    </row>
    <row r="91" spans="1:12">
      <c r="A91">
        <v>197007</v>
      </c>
      <c r="B91">
        <f>'10-T-weights5'!B87</f>
        <v>7.4499999999999997E-2</v>
      </c>
      <c r="C91">
        <f t="shared" si="4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5"/>
        <v>4.063831908831908E-2</v>
      </c>
      <c r="L91">
        <f t="shared" si="3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4"/>
        <v>4.6538319088319083E-2</v>
      </c>
      <c r="D92">
        <v>1.5300000000000001E-2</v>
      </c>
      <c r="E92">
        <v>1.2700000000000001E-2</v>
      </c>
      <c r="F92">
        <v>5.6000000000000008E-3</v>
      </c>
      <c r="G92">
        <v>-1.9E-3</v>
      </c>
      <c r="I92">
        <v>2.0400000000000001E-2</v>
      </c>
      <c r="K92">
        <f t="shared" si="5"/>
        <v>1.6738319088319079E-2</v>
      </c>
      <c r="L92">
        <f t="shared" si="3"/>
        <v>5.7202808116621366E-2</v>
      </c>
    </row>
    <row r="93" spans="1:12">
      <c r="A93">
        <v>197009</v>
      </c>
      <c r="B93">
        <f>'10-T-weights5'!B89</f>
        <v>4.7199999999999999E-2</v>
      </c>
      <c r="C93">
        <f t="shared" si="4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4.1100000000000005E-2</v>
      </c>
      <c r="K93">
        <f t="shared" si="5"/>
        <v>3.7438319088319086E-2</v>
      </c>
      <c r="L93">
        <f t="shared" si="3"/>
        <v>-2.5834702418431943E-2</v>
      </c>
    </row>
    <row r="94" spans="1:12">
      <c r="A94">
        <v>197010</v>
      </c>
      <c r="B94">
        <f>'10-T-weights5'!B90</f>
        <v>-1.8199999999999997E-2</v>
      </c>
      <c r="C94">
        <f t="shared" si="4"/>
        <v>-2.186168091168092E-2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5"/>
        <v>-1.6461680911680921E-2</v>
      </c>
      <c r="L94">
        <f t="shared" si="3"/>
        <v>4.0837054798291542E-2</v>
      </c>
    </row>
    <row r="95" spans="1:12">
      <c r="A95">
        <v>197011</v>
      </c>
      <c r="B95">
        <f>'10-T-weights5'!B91</f>
        <v>5.0599999999999999E-2</v>
      </c>
      <c r="C95">
        <f t="shared" si="4"/>
        <v>4.693831908831908E-2</v>
      </c>
      <c r="D95">
        <v>-3.8600000000000002E-2</v>
      </c>
      <c r="E95">
        <v>1.7000000000000001E-2</v>
      </c>
      <c r="F95">
        <v>1.5600000000000001E-2</v>
      </c>
      <c r="G95">
        <v>1.4800000000000001E-2</v>
      </c>
      <c r="I95">
        <v>5.5700000000000006E-2</v>
      </c>
      <c r="K95">
        <f t="shared" si="5"/>
        <v>5.2038319088319088E-2</v>
      </c>
      <c r="L95">
        <f t="shared" si="3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4"/>
        <v>5.7738319088319084E-2</v>
      </c>
      <c r="D96">
        <v>2.9300000000000003E-2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5"/>
        <v>3.0838319088319081E-2</v>
      </c>
      <c r="L96">
        <f t="shared" si="3"/>
        <v>8.5782437407484785E-2</v>
      </c>
    </row>
    <row r="97" spans="1:12">
      <c r="A97">
        <v>197101</v>
      </c>
      <c r="B97">
        <f>'10-T-weights5'!B93</f>
        <v>5.2199999999999996E-2</v>
      </c>
      <c r="C97">
        <f t="shared" si="4"/>
        <v>4.8538319088319078E-2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2.0499999999999997E-2</v>
      </c>
      <c r="K97">
        <f t="shared" si="5"/>
        <v>1.6838319088319075E-2</v>
      </c>
      <c r="L97">
        <f t="shared" si="3"/>
        <v>5.800716673447185E-2</v>
      </c>
    </row>
    <row r="98" spans="1:12">
      <c r="A98">
        <v>197102</v>
      </c>
      <c r="B98">
        <f>'10-T-weights5'!B94</f>
        <v>1.7399999999999999E-2</v>
      </c>
      <c r="C98">
        <f t="shared" si="4"/>
        <v>1.3738319088319077E-2</v>
      </c>
      <c r="D98">
        <v>2.0400000000000001E-2</v>
      </c>
      <c r="E98">
        <v>-1.2700000000000001E-2</v>
      </c>
      <c r="F98">
        <v>5.7999999999999996E-3</v>
      </c>
      <c r="G98">
        <v>-6.8999999999999999E-3</v>
      </c>
      <c r="I98">
        <v>3.9900000000000005E-2</v>
      </c>
      <c r="K98">
        <f t="shared" si="5"/>
        <v>3.6238319088319086E-2</v>
      </c>
      <c r="L98">
        <f t="shared" si="3"/>
        <v>2.5264224395856506E-2</v>
      </c>
    </row>
    <row r="99" spans="1:12">
      <c r="A99">
        <v>197103</v>
      </c>
      <c r="B99">
        <f>'10-T-weights5'!B95</f>
        <v>4.4299999999999999E-2</v>
      </c>
      <c r="C99">
        <f t="shared" si="4"/>
        <v>4.063831908831908E-2</v>
      </c>
      <c r="D99">
        <v>2.2599999999999999E-2</v>
      </c>
      <c r="E99">
        <v>-4.0300000000000002E-2</v>
      </c>
      <c r="F99">
        <v>1.83E-2</v>
      </c>
      <c r="G99">
        <v>-2.7000000000000003E-2</v>
      </c>
      <c r="I99">
        <v>5.1799999999999999E-2</v>
      </c>
      <c r="K99">
        <f t="shared" si="5"/>
        <v>4.813831908831908E-2</v>
      </c>
      <c r="L99">
        <f t="shared" si="3"/>
        <v>3.4895590098986615E-2</v>
      </c>
    </row>
    <row r="100" spans="1:12">
      <c r="A100">
        <v>197104</v>
      </c>
      <c r="B100">
        <f>'10-T-weights5'!B96</f>
        <v>3.4299999999999997E-2</v>
      </c>
      <c r="C100">
        <f t="shared" si="4"/>
        <v>3.0638319088319075E-2</v>
      </c>
      <c r="D100">
        <v>-3.4999999999999996E-3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5"/>
        <v>4.6038319088319082E-2</v>
      </c>
      <c r="L100">
        <f t="shared" si="3"/>
        <v>2.1273551331680494E-2</v>
      </c>
    </row>
    <row r="101" spans="1:12">
      <c r="A101">
        <v>197105</v>
      </c>
      <c r="B101">
        <f>'10-T-weights5'!B97</f>
        <v>-3.6900000000000002E-2</v>
      </c>
      <c r="C101">
        <f t="shared" si="4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5"/>
        <v>-3.326168091168092E-2</v>
      </c>
      <c r="L101">
        <f t="shared" si="3"/>
        <v>-9.9805345179463135E-3</v>
      </c>
    </row>
    <row r="102" spans="1:12">
      <c r="A102">
        <v>197106</v>
      </c>
      <c r="B102">
        <f>'10-T-weights5'!B98</f>
        <v>2.7000000000000001E-3</v>
      </c>
      <c r="C102">
        <f t="shared" si="4"/>
        <v>-9.6168091168092164E-4</v>
      </c>
      <c r="D102">
        <v>-1.49E-2</v>
      </c>
      <c r="E102">
        <v>-1.9400000000000001E-2</v>
      </c>
      <c r="F102">
        <v>1.5500000000000002E-2</v>
      </c>
      <c r="G102">
        <v>-1.6500000000000001E-2</v>
      </c>
      <c r="I102">
        <v>2.6499999999999999E-2</v>
      </c>
      <c r="K102">
        <f t="shared" si="5"/>
        <v>2.2838319088319077E-2</v>
      </c>
      <c r="L102">
        <f t="shared" si="3"/>
        <v>-1.7979897772515328E-2</v>
      </c>
    </row>
    <row r="103" spans="1:12">
      <c r="A103">
        <v>197107</v>
      </c>
      <c r="B103">
        <f>'10-T-weights5'!B99</f>
        <v>-4.0999999999999995E-2</v>
      </c>
      <c r="C103">
        <f t="shared" si="4"/>
        <v>-4.4661680911680914E-2</v>
      </c>
      <c r="D103">
        <v>-1.4199999999999999E-2</v>
      </c>
      <c r="E103">
        <v>-1E-4</v>
      </c>
      <c r="F103">
        <v>5.6999999999999993E-3</v>
      </c>
      <c r="G103">
        <v>1.49E-2</v>
      </c>
      <c r="I103">
        <v>-6.2400000000000004E-2</v>
      </c>
      <c r="K103">
        <f t="shared" si="5"/>
        <v>-6.6061680911680923E-2</v>
      </c>
      <c r="L103">
        <f t="shared" si="3"/>
        <v>-4.0306894302012189E-3</v>
      </c>
    </row>
    <row r="104" spans="1:12">
      <c r="A104">
        <v>197108</v>
      </c>
      <c r="B104">
        <f>'10-T-weights5'!B100</f>
        <v>4.2600000000000006E-2</v>
      </c>
      <c r="C104">
        <f t="shared" si="4"/>
        <v>3.8938319088319087E-2</v>
      </c>
      <c r="D104">
        <v>-1.5E-3</v>
      </c>
      <c r="E104">
        <v>2.6400000000000003E-2</v>
      </c>
      <c r="F104">
        <v>-4.5000000000000005E-3</v>
      </c>
      <c r="G104">
        <v>2.63E-2</v>
      </c>
      <c r="I104">
        <v>8.8100000000000012E-2</v>
      </c>
      <c r="K104">
        <f t="shared" si="5"/>
        <v>8.4438319088319086E-2</v>
      </c>
      <c r="L104">
        <f t="shared" si="3"/>
        <v>8.8600589647939862E-2</v>
      </c>
    </row>
    <row r="105" spans="1:12">
      <c r="A105">
        <v>197109</v>
      </c>
      <c r="B105">
        <f>'10-T-weights5'!B101</f>
        <v>-4.8000000000000004E-3</v>
      </c>
      <c r="C105">
        <f t="shared" si="4"/>
        <v>-8.4616809116809227E-3</v>
      </c>
      <c r="D105">
        <v>2.8000000000000004E-3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5"/>
        <v>1.2383190883190781E-3</v>
      </c>
      <c r="L105">
        <f t="shared" si="3"/>
        <v>1.0768158252995506E-2</v>
      </c>
    </row>
    <row r="106" spans="1:12">
      <c r="A106">
        <v>197110</v>
      </c>
      <c r="B106">
        <f>'10-T-weights5'!B102</f>
        <v>-4.0500000000000001E-2</v>
      </c>
      <c r="C106">
        <f t="shared" si="4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-4.1100000000000005E-2</v>
      </c>
      <c r="K106">
        <f t="shared" si="5"/>
        <v>-4.4761680911680923E-2</v>
      </c>
      <c r="L106">
        <f t="shared" si="3"/>
        <v>-6.0050394423701831E-2</v>
      </c>
    </row>
    <row r="107" spans="1:12">
      <c r="A107">
        <v>197111</v>
      </c>
      <c r="B107">
        <f>'10-T-weights5'!B103</f>
        <v>-8.9999999999999976E-4</v>
      </c>
      <c r="C107">
        <f t="shared" si="4"/>
        <v>-4.561680911680922E-3</v>
      </c>
      <c r="D107">
        <v>-2.8700000000000003E-2</v>
      </c>
      <c r="E107">
        <v>-1.7000000000000001E-2</v>
      </c>
      <c r="F107">
        <v>2.4100000000000003E-2</v>
      </c>
      <c r="G107">
        <v>-3.3000000000000004E-3</v>
      </c>
      <c r="I107">
        <v>9.7000000000000003E-3</v>
      </c>
      <c r="K107">
        <f t="shared" si="5"/>
        <v>6.0383190883190781E-3</v>
      </c>
      <c r="L107">
        <f t="shared" si="3"/>
        <v>1.9224758159755752E-2</v>
      </c>
    </row>
    <row r="108" spans="1:12">
      <c r="A108">
        <v>197112</v>
      </c>
      <c r="B108">
        <f>'10-T-weights5'!B104</f>
        <v>9.0800000000000006E-2</v>
      </c>
      <c r="C108">
        <f t="shared" si="4"/>
        <v>8.713831908831908E-2</v>
      </c>
      <c r="D108">
        <v>3.2500000000000001E-2</v>
      </c>
      <c r="E108">
        <v>-4.0999999999999995E-3</v>
      </c>
      <c r="F108">
        <v>-3.9000000000000003E-3</v>
      </c>
      <c r="G108">
        <v>-1.7299999999999999E-2</v>
      </c>
      <c r="I108">
        <v>0.10800000000000001</v>
      </c>
      <c r="K108">
        <f t="shared" si="5"/>
        <v>0.10433831908831909</v>
      </c>
      <c r="L108">
        <f t="shared" si="3"/>
        <v>5.7619015003130263E-2</v>
      </c>
    </row>
    <row r="109" spans="1:12">
      <c r="A109">
        <v>197201</v>
      </c>
      <c r="B109">
        <f>'10-T-weights5'!B105</f>
        <v>2.7800000000000002E-2</v>
      </c>
      <c r="C109">
        <f t="shared" si="4"/>
        <v>2.413831908831908E-2</v>
      </c>
      <c r="D109">
        <v>6.1200000000000004E-2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5"/>
        <v>5.7438319088319083E-2</v>
      </c>
      <c r="L109">
        <f t="shared" si="3"/>
        <v>3.8787287401568588E-2</v>
      </c>
    </row>
    <row r="110" spans="1:12">
      <c r="A110">
        <v>197202</v>
      </c>
      <c r="B110">
        <f>'10-T-weights5'!B106</f>
        <v>3.1200000000000002E-2</v>
      </c>
      <c r="C110">
        <f t="shared" si="4"/>
        <v>2.753831908831908E-2</v>
      </c>
      <c r="D110">
        <v>8.8999999999999999E-3</v>
      </c>
      <c r="E110">
        <v>-2.7700000000000002E-2</v>
      </c>
      <c r="F110">
        <v>1.6299999999999999E-2</v>
      </c>
      <c r="G110">
        <v>-5.3E-3</v>
      </c>
      <c r="I110">
        <v>5.67E-2</v>
      </c>
      <c r="K110">
        <f t="shared" si="5"/>
        <v>5.3038319088319082E-2</v>
      </c>
      <c r="L110">
        <f t="shared" si="3"/>
        <v>6.1251063637716215E-2</v>
      </c>
    </row>
    <row r="111" spans="1:12">
      <c r="A111">
        <v>197203</v>
      </c>
      <c r="B111">
        <f>'10-T-weights5'!B107</f>
        <v>9.0000000000000011E-3</v>
      </c>
      <c r="C111">
        <f t="shared" si="4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5"/>
        <v>9.4383190883190783E-3</v>
      </c>
      <c r="L111">
        <f t="shared" si="3"/>
        <v>3.4917868561774777E-2</v>
      </c>
    </row>
    <row r="112" spans="1:12">
      <c r="A112">
        <v>197204</v>
      </c>
      <c r="B112">
        <f>'10-T-weights5'!B108</f>
        <v>5.7999999999999996E-3</v>
      </c>
      <c r="C112">
        <f t="shared" si="4"/>
        <v>2.1383190883190778E-3</v>
      </c>
      <c r="D112">
        <v>2E-3</v>
      </c>
      <c r="E112">
        <v>1E-3</v>
      </c>
      <c r="F112">
        <v>-4.5000000000000005E-3</v>
      </c>
      <c r="G112">
        <v>-0.01</v>
      </c>
      <c r="I112">
        <v>1.2700000000000001E-2</v>
      </c>
      <c r="K112">
        <f t="shared" si="5"/>
        <v>9.038319088319079E-3</v>
      </c>
      <c r="L112">
        <f t="shared" si="3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4"/>
        <v>1.1838319088319078E-2</v>
      </c>
      <c r="D113">
        <v>-3.1200000000000002E-2</v>
      </c>
      <c r="E113">
        <v>-2.7200000000000002E-2</v>
      </c>
      <c r="F113">
        <v>2.3799999999999998E-2</v>
      </c>
      <c r="G113">
        <v>-1.9199999999999998E-2</v>
      </c>
      <c r="I113">
        <v>5.4900000000000004E-2</v>
      </c>
      <c r="K113">
        <f t="shared" si="5"/>
        <v>5.1238319088319086E-2</v>
      </c>
      <c r="L113">
        <f t="shared" si="3"/>
        <v>-4.6996556361920822E-3</v>
      </c>
    </row>
    <row r="114" spans="1:12">
      <c r="A114">
        <v>197206</v>
      </c>
      <c r="B114">
        <f>'10-T-weights5'!B110</f>
        <v>-2.1400000000000002E-2</v>
      </c>
      <c r="C114">
        <f t="shared" si="4"/>
        <v>-2.5061680911680925E-2</v>
      </c>
      <c r="D114">
        <v>-4.7000000000000002E-3</v>
      </c>
      <c r="E114">
        <v>-2.4900000000000002E-2</v>
      </c>
      <c r="F114">
        <v>1.8100000000000002E-2</v>
      </c>
      <c r="G114">
        <v>-3.4000000000000002E-3</v>
      </c>
      <c r="I114">
        <v>5.4000000000000003E-3</v>
      </c>
      <c r="K114">
        <f t="shared" si="5"/>
        <v>1.7383190883190785E-3</v>
      </c>
      <c r="L114">
        <f t="shared" si="3"/>
        <v>6.7060146236269415E-3</v>
      </c>
    </row>
    <row r="115" spans="1:12">
      <c r="A115">
        <v>197207</v>
      </c>
      <c r="B115">
        <f>'10-T-weights5'!B111</f>
        <v>-4.8999999999999998E-3</v>
      </c>
      <c r="C115">
        <f t="shared" si="4"/>
        <v>-8.5616809116809221E-3</v>
      </c>
      <c r="D115">
        <v>-2.7700000000000002E-2</v>
      </c>
      <c r="E115">
        <v>6.6000000000000008E-3</v>
      </c>
      <c r="F115">
        <v>1.1399999999999999E-2</v>
      </c>
      <c r="G115">
        <v>-6.5000000000000006E-3</v>
      </c>
      <c r="I115">
        <v>-2.6000000000000003E-3</v>
      </c>
      <c r="K115">
        <f t="shared" si="5"/>
        <v>-6.2616809116809221E-3</v>
      </c>
      <c r="L115">
        <f t="shared" si="3"/>
        <v>-2.5934935450633086E-2</v>
      </c>
    </row>
    <row r="116" spans="1:12">
      <c r="A116">
        <v>197208</v>
      </c>
      <c r="B116">
        <f>'10-T-weights5'!B112</f>
        <v>3.5499999999999997E-2</v>
      </c>
      <c r="C116">
        <f t="shared" si="4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-1.5500000000000002E-2</v>
      </c>
      <c r="K116">
        <f t="shared" si="5"/>
        <v>-1.9161680911680922E-2</v>
      </c>
      <c r="L116">
        <f t="shared" si="3"/>
        <v>2.981196766820933E-2</v>
      </c>
    </row>
    <row r="117" spans="1:12">
      <c r="A117">
        <v>197209</v>
      </c>
      <c r="B117">
        <f>'10-T-weights5'!B113</f>
        <v>-7.9999999999999984E-3</v>
      </c>
      <c r="C117">
        <f t="shared" si="4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5"/>
        <v>1.4383190883190786E-3</v>
      </c>
      <c r="L117">
        <f t="shared" si="3"/>
        <v>-4.8714844540749647E-2</v>
      </c>
    </row>
    <row r="118" spans="1:12">
      <c r="A118">
        <v>197210</v>
      </c>
      <c r="B118">
        <f>'10-T-weights5'!B114</f>
        <v>9.1999999999999998E-3</v>
      </c>
      <c r="C118">
        <f t="shared" si="4"/>
        <v>5.5383190883190776E-3</v>
      </c>
      <c r="D118">
        <v>-2.5400000000000002E-2</v>
      </c>
      <c r="E118">
        <v>1.3500000000000002E-2</v>
      </c>
      <c r="F118">
        <v>-1.5E-3</v>
      </c>
      <c r="G118">
        <v>-2.0000000000000001E-4</v>
      </c>
      <c r="I118">
        <v>1.7399999999999999E-2</v>
      </c>
      <c r="K118">
        <f t="shared" si="5"/>
        <v>1.3738319088319077E-2</v>
      </c>
      <c r="L118">
        <f t="shared" si="3"/>
        <v>-2.0499022349017407E-2</v>
      </c>
    </row>
    <row r="119" spans="1:12">
      <c r="A119">
        <v>197211</v>
      </c>
      <c r="B119">
        <f>'10-T-weights5'!B115</f>
        <v>4.9700000000000001E-2</v>
      </c>
      <c r="C119">
        <f t="shared" si="4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5"/>
        <v>1.1738319088319078E-2</v>
      </c>
      <c r="L119">
        <f t="shared" si="3"/>
        <v>7.3769875483758796E-2</v>
      </c>
    </row>
    <row r="120" spans="1:12">
      <c r="A120">
        <v>197212</v>
      </c>
      <c r="B120">
        <f>'10-T-weights5'!B116</f>
        <v>9.8999999999999991E-3</v>
      </c>
      <c r="C120">
        <f t="shared" si="4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5"/>
        <v>4.983831908831908E-2</v>
      </c>
      <c r="L120">
        <f t="shared" si="3"/>
        <v>-6.5371077701594157E-3</v>
      </c>
    </row>
    <row r="121" spans="1:12">
      <c r="A121">
        <v>197301</v>
      </c>
      <c r="B121">
        <f>'10-T-weights5'!B117</f>
        <v>-2.8499999999999998E-2</v>
      </c>
      <c r="C121">
        <f t="shared" si="4"/>
        <v>-3.2161680911680916E-2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5"/>
        <v>-3.2461680911680918E-2</v>
      </c>
      <c r="L121">
        <f t="shared" si="3"/>
        <v>-3.1150099683304865E-2</v>
      </c>
    </row>
    <row r="122" spans="1:12">
      <c r="A122">
        <v>197302</v>
      </c>
      <c r="B122">
        <f>'10-T-weights5'!B118</f>
        <v>-4.4399999999999995E-2</v>
      </c>
      <c r="C122">
        <f t="shared" si="4"/>
        <v>-4.8061680911680914E-2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-5.1100000000000007E-2</v>
      </c>
      <c r="K122">
        <f t="shared" si="5"/>
        <v>-5.4761680911680925E-2</v>
      </c>
      <c r="L122">
        <f t="shared" si="3"/>
        <v>-8.5145324851678375E-2</v>
      </c>
    </row>
    <row r="123" spans="1:12">
      <c r="A123">
        <v>197303</v>
      </c>
      <c r="B123">
        <f>'10-T-weights5'!B119</f>
        <v>-8.4000000000000012E-3</v>
      </c>
      <c r="C123">
        <f t="shared" si="4"/>
        <v>-1.2061680911680923E-2</v>
      </c>
      <c r="D123">
        <v>-2.3300000000000001E-2</v>
      </c>
      <c r="E123">
        <v>2.6200000000000001E-2</v>
      </c>
      <c r="F123">
        <v>-1.0400000000000001E-2</v>
      </c>
      <c r="G123">
        <v>6.4000000000000003E-3</v>
      </c>
      <c r="I123">
        <v>1.7899999999999999E-2</v>
      </c>
      <c r="K123">
        <f t="shared" si="5"/>
        <v>1.4238319088319077E-2</v>
      </c>
      <c r="L123">
        <f t="shared" si="3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4"/>
        <v>-5.5261680911680912E-2</v>
      </c>
      <c r="D124">
        <v>-2.9500000000000002E-2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5"/>
        <v>-3.446168091168092E-2</v>
      </c>
      <c r="L124">
        <f t="shared" si="3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4"/>
        <v>-2.7961680911680921E-2</v>
      </c>
      <c r="D125">
        <v>-6.1800000000000001E-2</v>
      </c>
      <c r="E125">
        <v>4.0999999999999995E-3</v>
      </c>
      <c r="F125">
        <v>1.9400000000000001E-2</v>
      </c>
      <c r="G125">
        <v>-1.5100000000000001E-2</v>
      </c>
      <c r="I125">
        <v>-2.0999999999999999E-3</v>
      </c>
      <c r="K125">
        <f t="shared" si="5"/>
        <v>-5.7616809116809217E-3</v>
      </c>
      <c r="L125">
        <f t="shared" si="3"/>
        <v>-7.5296482163884043E-2</v>
      </c>
    </row>
    <row r="126" spans="1:12">
      <c r="A126">
        <v>197306</v>
      </c>
      <c r="B126">
        <f>'10-T-weights5'!B122</f>
        <v>-1.0600000000000002E-2</v>
      </c>
      <c r="C126">
        <f t="shared" si="4"/>
        <v>-1.4261680911680924E-2</v>
      </c>
      <c r="D126">
        <v>-2.5099999999999997E-2</v>
      </c>
      <c r="E126">
        <v>1.1899999999999999E-2</v>
      </c>
      <c r="F126">
        <v>-2.7000000000000001E-3</v>
      </c>
      <c r="G126">
        <v>2.0999999999999999E-3</v>
      </c>
      <c r="I126">
        <v>7.3000000000000001E-3</v>
      </c>
      <c r="K126">
        <f t="shared" si="5"/>
        <v>3.6383190883190783E-3</v>
      </c>
      <c r="L126">
        <f t="shared" si="3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4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2.4300000000000002E-2</v>
      </c>
      <c r="K127">
        <f t="shared" si="5"/>
        <v>2.063831908831908E-2</v>
      </c>
      <c r="L127">
        <f t="shared" si="3"/>
        <v>3.6067006981262445E-2</v>
      </c>
    </row>
    <row r="128" spans="1:12">
      <c r="A128">
        <v>197308</v>
      </c>
      <c r="B128">
        <f>'10-T-weights5'!B124</f>
        <v>-3.1199999999999999E-2</v>
      </c>
      <c r="C128">
        <f t="shared" si="4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-2.8700000000000003E-2</v>
      </c>
      <c r="K128">
        <f t="shared" si="5"/>
        <v>-3.2361680911680922E-2</v>
      </c>
      <c r="L128">
        <f t="shared" si="3"/>
        <v>-4.1018225363439374E-2</v>
      </c>
    </row>
    <row r="129" spans="1:12">
      <c r="A129">
        <v>197309</v>
      </c>
      <c r="B129">
        <f>'10-T-weights5'!B125</f>
        <v>5.4300000000000001E-2</v>
      </c>
      <c r="C129">
        <f t="shared" si="4"/>
        <v>5.0638319088319082E-2</v>
      </c>
      <c r="D129">
        <v>3.5700000000000003E-2</v>
      </c>
      <c r="E129">
        <v>2.2400000000000003E-2</v>
      </c>
      <c r="F129">
        <v>-2.3E-2</v>
      </c>
      <c r="G129">
        <v>1.7500000000000002E-2</v>
      </c>
      <c r="I129">
        <v>5.2699999999999997E-2</v>
      </c>
      <c r="K129">
        <f t="shared" si="5"/>
        <v>4.9038319088319078E-2</v>
      </c>
      <c r="L129">
        <f t="shared" si="3"/>
        <v>6.915948562717697E-2</v>
      </c>
    </row>
    <row r="130" spans="1:12">
      <c r="A130">
        <v>197310</v>
      </c>
      <c r="B130">
        <f>'10-T-weights5'!B126</f>
        <v>-1.7999999999999995E-3</v>
      </c>
      <c r="C130">
        <f t="shared" si="4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5"/>
        <v>3.6838319088319083E-2</v>
      </c>
      <c r="L130">
        <f t="shared" si="3"/>
        <v>2.2895395437483312E-2</v>
      </c>
    </row>
    <row r="131" spans="1:12">
      <c r="A131">
        <v>197311</v>
      </c>
      <c r="B131">
        <f>'10-T-weights5'!B127</f>
        <v>-0.12190000000000001</v>
      </c>
      <c r="C131">
        <f t="shared" si="4"/>
        <v>-0.12556168091168093</v>
      </c>
      <c r="D131">
        <v>-7.2700000000000001E-2</v>
      </c>
      <c r="E131">
        <v>3.9900000000000005E-2</v>
      </c>
      <c r="F131">
        <v>-2.58E-2</v>
      </c>
      <c r="G131">
        <v>1.6899999999999998E-2</v>
      </c>
      <c r="I131">
        <v>-9.2699999999999991E-2</v>
      </c>
      <c r="K131">
        <f t="shared" si="5"/>
        <v>-9.6361680911680916E-2</v>
      </c>
      <c r="L131">
        <f t="shared" si="3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4"/>
        <v>8.8383190883190785E-3</v>
      </c>
      <c r="D132">
        <v>-4.6600000000000003E-2</v>
      </c>
      <c r="E132">
        <v>3.9399999999999998E-2</v>
      </c>
      <c r="F132">
        <v>-2.69E-2</v>
      </c>
      <c r="G132">
        <v>2.4100000000000003E-2</v>
      </c>
      <c r="I132">
        <v>7.7600000000000002E-2</v>
      </c>
      <c r="K132">
        <f t="shared" si="5"/>
        <v>7.3938319088319077E-2</v>
      </c>
      <c r="L132">
        <f t="shared" si="3"/>
        <v>-2.5124794904940642E-2</v>
      </c>
    </row>
    <row r="133" spans="1:12">
      <c r="A133">
        <v>197401</v>
      </c>
      <c r="B133">
        <f>'10-T-weights5'!B129</f>
        <v>4.5999999999999999E-3</v>
      </c>
      <c r="C133">
        <f t="shared" si="4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4.4800000000000006E-2</v>
      </c>
      <c r="I133">
        <v>-6.0400000000000002E-2</v>
      </c>
      <c r="K133">
        <f t="shared" si="5"/>
        <v>-6.4061680911680921E-2</v>
      </c>
      <c r="L133">
        <f t="shared" si="3"/>
        <v>0.10644914164727094</v>
      </c>
    </row>
    <row r="134" spans="1:12">
      <c r="A134">
        <v>197402</v>
      </c>
      <c r="B134">
        <f>'10-T-weights5'!B130</f>
        <v>1.0999999999999994E-3</v>
      </c>
      <c r="C134">
        <f t="shared" si="4"/>
        <v>-2.5616809116809224E-3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5"/>
        <v>1.3738319088319077E-2</v>
      </c>
      <c r="L134">
        <f t="shared" si="3"/>
        <v>2.2652354554056703E-2</v>
      </c>
    </row>
    <row r="135" spans="1:12">
      <c r="A135">
        <v>197403</v>
      </c>
      <c r="B135">
        <f>'10-T-weights5'!B131</f>
        <v>-2.2499999999999999E-2</v>
      </c>
      <c r="C135">
        <f t="shared" si="4"/>
        <v>-2.6161680911680921E-2</v>
      </c>
      <c r="D135">
        <v>2.6099999999999998E-2</v>
      </c>
      <c r="E135">
        <v>-1.1999999999999999E-3</v>
      </c>
      <c r="F135">
        <v>2.7900000000000001E-2</v>
      </c>
      <c r="G135">
        <v>4.5000000000000005E-3</v>
      </c>
      <c r="I135">
        <v>-4.6399999999999997E-2</v>
      </c>
      <c r="K135">
        <f t="shared" si="5"/>
        <v>-5.0061680911680916E-2</v>
      </c>
      <c r="L135">
        <f t="shared" ref="L135:L198" si="6">SUMPRODUCT($L$3:$P$3,C135:G135)</f>
        <v>5.619501653732098E-2</v>
      </c>
    </row>
    <row r="136" spans="1:12">
      <c r="A136">
        <v>197404</v>
      </c>
      <c r="B136">
        <f>'10-T-weights5'!B132</f>
        <v>-4.5400000000000003E-2</v>
      </c>
      <c r="C136">
        <f t="shared" ref="C136:C199" si="7">B136-$H$3</f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2.0800000000000003E-2</v>
      </c>
      <c r="I136">
        <v>-4.1299999999999996E-2</v>
      </c>
      <c r="K136">
        <f t="shared" ref="K136:K199" si="8">I136-$H$3</f>
        <v>-4.4961680911680915E-2</v>
      </c>
      <c r="L136">
        <f t="shared" si="6"/>
        <v>5.1853088709255597E-2</v>
      </c>
    </row>
    <row r="137" spans="1:12">
      <c r="A137">
        <v>197405</v>
      </c>
      <c r="B137">
        <f>'10-T-weights5'!B133</f>
        <v>-3.9300000000000002E-2</v>
      </c>
      <c r="C137">
        <f t="shared" si="7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8"/>
        <v>-9.1461680911680915E-2</v>
      </c>
      <c r="L137">
        <f t="shared" si="6"/>
        <v>2.6215821598543805E-2</v>
      </c>
    </row>
    <row r="138" spans="1:12">
      <c r="A138">
        <v>197406</v>
      </c>
      <c r="B138">
        <f>'10-T-weights5'!B134</f>
        <v>-2.23E-2</v>
      </c>
      <c r="C138">
        <f t="shared" si="7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2.8999999999999998E-2</v>
      </c>
      <c r="I138">
        <v>-1.41E-2</v>
      </c>
      <c r="K138">
        <f t="shared" si="8"/>
        <v>-1.776168091168092E-2</v>
      </c>
      <c r="L138">
        <f t="shared" si="6"/>
        <v>5.9551969069784834E-2</v>
      </c>
    </row>
    <row r="139" spans="1:12">
      <c r="A139">
        <v>197407</v>
      </c>
      <c r="B139">
        <f>'10-T-weights5'!B135</f>
        <v>-7.350000000000001E-2</v>
      </c>
      <c r="C139">
        <f t="shared" si="7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8"/>
        <v>-3.9961680911680918E-2</v>
      </c>
      <c r="L139">
        <f t="shared" si="6"/>
        <v>-2.4033228684025298E-2</v>
      </c>
    </row>
    <row r="140" spans="1:12">
      <c r="A140">
        <v>197408</v>
      </c>
      <c r="B140">
        <f>'10-T-weights5'!B136</f>
        <v>-8.7499999999999994E-2</v>
      </c>
      <c r="C140">
        <f t="shared" si="7"/>
        <v>-9.116168091168092E-2</v>
      </c>
      <c r="D140">
        <v>2.6000000000000003E-3</v>
      </c>
      <c r="E140">
        <v>2.6400000000000003E-2</v>
      </c>
      <c r="F140">
        <v>-2.8000000000000004E-3</v>
      </c>
      <c r="G140">
        <v>2.6000000000000002E-2</v>
      </c>
      <c r="I140">
        <v>-8.8400000000000006E-2</v>
      </c>
      <c r="K140">
        <f t="shared" si="8"/>
        <v>-9.2061680911680932E-2</v>
      </c>
      <c r="L140">
        <f t="shared" si="6"/>
        <v>-3.6333176935321496E-2</v>
      </c>
    </row>
    <row r="141" spans="1:12">
      <c r="A141">
        <v>197409</v>
      </c>
      <c r="B141">
        <f>'10-T-weights5'!B137</f>
        <v>-0.1096</v>
      </c>
      <c r="C141">
        <f t="shared" si="7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8"/>
        <v>-9.3861680911680928E-2</v>
      </c>
      <c r="L141">
        <f t="shared" si="6"/>
        <v>-5.168450550256079E-2</v>
      </c>
    </row>
    <row r="142" spans="1:12">
      <c r="A142">
        <v>197410</v>
      </c>
      <c r="B142">
        <f>'10-T-weights5'!B138</f>
        <v>0.1661</v>
      </c>
      <c r="C142">
        <f t="shared" si="7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-2.8700000000000003E-2</v>
      </c>
      <c r="I142">
        <v>0.20399999999999999</v>
      </c>
      <c r="K142">
        <f t="shared" si="8"/>
        <v>0.20033831908831906</v>
      </c>
      <c r="L142">
        <f t="shared" si="6"/>
        <v>7.5959493529620239E-2</v>
      </c>
    </row>
    <row r="143" spans="1:12">
      <c r="A143">
        <v>197411</v>
      </c>
      <c r="B143">
        <f>'10-T-weights5'!B139</f>
        <v>-3.9699999999999999E-2</v>
      </c>
      <c r="C143">
        <f t="shared" si="7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8"/>
        <v>-4.1061680911680921E-2</v>
      </c>
      <c r="L143">
        <f t="shared" si="6"/>
        <v>-3.7258937835895095E-2</v>
      </c>
    </row>
    <row r="144" spans="1:12">
      <c r="A144">
        <v>197412</v>
      </c>
      <c r="B144">
        <f>'10-T-weights5'!B140</f>
        <v>-2.7500000000000004E-2</v>
      </c>
      <c r="C144">
        <f t="shared" si="7"/>
        <v>-3.1161680911680926E-2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8"/>
        <v>-3.8461680911680916E-2</v>
      </c>
      <c r="L144">
        <f t="shared" si="6"/>
        <v>1.2509446217764578E-2</v>
      </c>
    </row>
    <row r="145" spans="1:12">
      <c r="A145">
        <v>197501</v>
      </c>
      <c r="B145">
        <f>'10-T-weights5'!B141</f>
        <v>0.1424</v>
      </c>
      <c r="C145">
        <f t="shared" si="7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0.11460000000000001</v>
      </c>
      <c r="K145">
        <f t="shared" si="8"/>
        <v>0.11093831908831908</v>
      </c>
      <c r="L145">
        <f t="shared" si="6"/>
        <v>0.15416658033074615</v>
      </c>
    </row>
    <row r="146" spans="1:12">
      <c r="A146">
        <v>197502</v>
      </c>
      <c r="B146">
        <f>'10-T-weights5'!B142</f>
        <v>5.9899999999999995E-2</v>
      </c>
      <c r="C146">
        <f t="shared" si="7"/>
        <v>5.6238319088319076E-2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8"/>
        <v>3.6838319088319083E-2</v>
      </c>
      <c r="L146">
        <f t="shared" si="6"/>
        <v>3.5091256510350027E-2</v>
      </c>
    </row>
    <row r="147" spans="1:12">
      <c r="A147">
        <v>197503</v>
      </c>
      <c r="B147">
        <f>'10-T-weights5'!B143</f>
        <v>3.0700000000000002E-2</v>
      </c>
      <c r="C147">
        <f t="shared" si="7"/>
        <v>2.7038319088319079E-2</v>
      </c>
      <c r="D147">
        <v>3.9900000000000005E-2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8"/>
        <v>6.7738319088319079E-2</v>
      </c>
      <c r="L147">
        <f t="shared" si="6"/>
        <v>3.2655819093281878E-2</v>
      </c>
    </row>
    <row r="148" spans="1:12">
      <c r="A148">
        <v>197504</v>
      </c>
      <c r="B148">
        <f>'10-T-weights5'!B144</f>
        <v>4.6700000000000005E-2</v>
      </c>
      <c r="C148">
        <f t="shared" si="7"/>
        <v>4.3038319088319087E-2</v>
      </c>
      <c r="D148">
        <v>-7.1999999999999998E-3</v>
      </c>
      <c r="E148">
        <v>-1.1299999999999999E-2</v>
      </c>
      <c r="F148">
        <v>1.4199999999999999E-2</v>
      </c>
      <c r="G148">
        <v>-1.3500000000000002E-2</v>
      </c>
      <c r="I148">
        <v>7.7100000000000002E-2</v>
      </c>
      <c r="K148">
        <f t="shared" si="8"/>
        <v>7.3438319088319076E-2</v>
      </c>
      <c r="L148">
        <f t="shared" si="6"/>
        <v>3.3486283320745241E-2</v>
      </c>
    </row>
    <row r="149" spans="1:12">
      <c r="A149">
        <v>197505</v>
      </c>
      <c r="B149">
        <f>'10-T-weights5'!B145</f>
        <v>5.6300000000000003E-2</v>
      </c>
      <c r="C149">
        <f t="shared" si="7"/>
        <v>5.2638319088319084E-2</v>
      </c>
      <c r="D149">
        <v>2.8900000000000002E-2</v>
      </c>
      <c r="E149">
        <v>-4.0999999999999995E-2</v>
      </c>
      <c r="F149">
        <v>-9.9000000000000008E-3</v>
      </c>
      <c r="G149">
        <v>-6.1000000000000004E-3</v>
      </c>
      <c r="I149">
        <v>4.9400000000000006E-2</v>
      </c>
      <c r="K149">
        <f t="shared" si="8"/>
        <v>4.5738319088319088E-2</v>
      </c>
      <c r="L149">
        <f t="shared" si="6"/>
        <v>5.4138659567358492E-2</v>
      </c>
    </row>
    <row r="150" spans="1:12">
      <c r="A150">
        <v>197506</v>
      </c>
      <c r="B150">
        <f>'10-T-weights5'!B146</f>
        <v>5.2400000000000002E-2</v>
      </c>
      <c r="C150">
        <f t="shared" si="7"/>
        <v>4.8738319088319083E-2</v>
      </c>
      <c r="D150">
        <v>1.4199999999999999E-2</v>
      </c>
      <c r="E150">
        <v>1.3999999999999999E-2</v>
      </c>
      <c r="F150">
        <v>-2.6600000000000002E-2</v>
      </c>
      <c r="G150">
        <v>1.1000000000000001E-2</v>
      </c>
      <c r="I150">
        <v>5.5800000000000002E-2</v>
      </c>
      <c r="K150">
        <f t="shared" si="8"/>
        <v>5.2138319088319084E-2</v>
      </c>
      <c r="L150">
        <f t="shared" si="6"/>
        <v>3.2094412040873641E-2</v>
      </c>
    </row>
    <row r="151" spans="1:12">
      <c r="A151">
        <v>197507</v>
      </c>
      <c r="B151">
        <f>'10-T-weights5'!B147</f>
        <v>-6.1100000000000002E-2</v>
      </c>
      <c r="C151">
        <f t="shared" si="7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8"/>
        <v>-4.4461680911680922E-2</v>
      </c>
      <c r="L151">
        <f t="shared" si="6"/>
        <v>-7.0288862716682554E-3</v>
      </c>
    </row>
    <row r="152" spans="1:12">
      <c r="A152">
        <v>197508</v>
      </c>
      <c r="B152">
        <f>'10-T-weights5'!B148</f>
        <v>-2.3700000000000002E-2</v>
      </c>
      <c r="C152">
        <f t="shared" si="7"/>
        <v>-2.7361680911680925E-2</v>
      </c>
      <c r="D152">
        <v>-2.8399999999999998E-2</v>
      </c>
      <c r="E152">
        <v>-9.4000000000000004E-3</v>
      </c>
      <c r="F152">
        <v>1.1200000000000002E-2</v>
      </c>
      <c r="G152">
        <v>-9.300000000000001E-3</v>
      </c>
      <c r="I152">
        <v>-2.5499999999999998E-2</v>
      </c>
      <c r="K152">
        <f t="shared" si="8"/>
        <v>-2.9161680911680921E-2</v>
      </c>
      <c r="L152">
        <f t="shared" si="6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7"/>
        <v>-4.0961680911680919E-2</v>
      </c>
      <c r="D153">
        <v>5.0000000000000001E-4</v>
      </c>
      <c r="E153">
        <v>4.3E-3</v>
      </c>
      <c r="F153">
        <v>5.3E-3</v>
      </c>
      <c r="G153">
        <v>5.5000000000000005E-3</v>
      </c>
      <c r="I153">
        <v>-1.7899999999999999E-2</v>
      </c>
      <c r="K153">
        <f t="shared" si="8"/>
        <v>-2.1561680911680921E-2</v>
      </c>
      <c r="L153">
        <f t="shared" si="6"/>
        <v>-1.7846306153290071E-2</v>
      </c>
    </row>
    <row r="154" spans="1:12">
      <c r="A154">
        <v>197510</v>
      </c>
      <c r="B154">
        <f>'10-T-weights5'!B150</f>
        <v>5.8699999999999995E-2</v>
      </c>
      <c r="C154">
        <f t="shared" si="7"/>
        <v>5.5038319088319076E-2</v>
      </c>
      <c r="D154">
        <v>-4.2200000000000001E-2</v>
      </c>
      <c r="E154">
        <v>2.7000000000000001E-3</v>
      </c>
      <c r="F154">
        <v>-4.7999999999999996E-3</v>
      </c>
      <c r="G154">
        <v>2.2000000000000002E-2</v>
      </c>
      <c r="I154">
        <v>2.9700000000000004E-2</v>
      </c>
      <c r="K154">
        <f t="shared" si="8"/>
        <v>2.6038319088319082E-2</v>
      </c>
      <c r="L154">
        <f t="shared" si="6"/>
        <v>7.4737259628507621E-2</v>
      </c>
    </row>
    <row r="155" spans="1:12">
      <c r="A155">
        <v>197511</v>
      </c>
      <c r="B155">
        <f>'10-T-weights5'!B151</f>
        <v>3.0500000000000003E-2</v>
      </c>
      <c r="C155">
        <f t="shared" si="7"/>
        <v>2.6838319088319081E-2</v>
      </c>
      <c r="D155">
        <v>-1.1000000000000001E-2</v>
      </c>
      <c r="E155">
        <v>2.0499999999999997E-2</v>
      </c>
      <c r="F155">
        <v>-6.8000000000000005E-3</v>
      </c>
      <c r="G155">
        <v>1.78E-2</v>
      </c>
      <c r="I155">
        <v>1.61E-2</v>
      </c>
      <c r="K155">
        <f t="shared" si="8"/>
        <v>1.2438319088319078E-2</v>
      </c>
      <c r="L155">
        <f t="shared" si="6"/>
        <v>4.558386091460833E-2</v>
      </c>
    </row>
    <row r="156" spans="1:12">
      <c r="A156">
        <v>197512</v>
      </c>
      <c r="B156">
        <f>'10-T-weights5'!B152</f>
        <v>-1.1200000000000002E-2</v>
      </c>
      <c r="C156">
        <f t="shared" si="7"/>
        <v>-1.4861680911680924E-2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8"/>
        <v>-1.7061680911680921E-2</v>
      </c>
      <c r="L156">
        <f t="shared" si="6"/>
        <v>-8.3437123534246729E-3</v>
      </c>
    </row>
    <row r="157" spans="1:12">
      <c r="A157">
        <v>197601</v>
      </c>
      <c r="B157">
        <f>'10-T-weights5'!B153</f>
        <v>0.1263</v>
      </c>
      <c r="C157">
        <f t="shared" si="7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0.19140000000000001</v>
      </c>
      <c r="K157">
        <f t="shared" si="8"/>
        <v>0.18773831908831909</v>
      </c>
      <c r="L157">
        <f t="shared" si="6"/>
        <v>0.15748713984465823</v>
      </c>
    </row>
    <row r="158" spans="1:12">
      <c r="A158">
        <v>197602</v>
      </c>
      <c r="B158">
        <f>'10-T-weights5'!B154</f>
        <v>6.6E-3</v>
      </c>
      <c r="C158">
        <f t="shared" si="7"/>
        <v>2.9383190883190782E-3</v>
      </c>
      <c r="D158">
        <v>7.980000000000001E-2</v>
      </c>
      <c r="E158">
        <v>5.8200000000000002E-2</v>
      </c>
      <c r="F158">
        <v>-2.6000000000000002E-2</v>
      </c>
      <c r="G158">
        <v>3.8300000000000001E-2</v>
      </c>
      <c r="I158">
        <v>5.21E-2</v>
      </c>
      <c r="K158">
        <f t="shared" si="8"/>
        <v>4.8438319088319082E-2</v>
      </c>
      <c r="L158">
        <f t="shared" si="6"/>
        <v>8.6440675823203528E-2</v>
      </c>
    </row>
    <row r="159" spans="1:12">
      <c r="A159">
        <v>197603</v>
      </c>
      <c r="B159">
        <f>'10-T-weights5'!B155</f>
        <v>2.7199999999999998E-2</v>
      </c>
      <c r="C159">
        <f t="shared" si="7"/>
        <v>2.3538319088319076E-2</v>
      </c>
      <c r="D159">
        <v>-1.3899999999999999E-2</v>
      </c>
      <c r="E159">
        <v>-1.1000000000000001E-3</v>
      </c>
      <c r="F159">
        <v>-3.3000000000000004E-3</v>
      </c>
      <c r="G159">
        <v>9.4000000000000004E-3</v>
      </c>
      <c r="I159">
        <v>7.4000000000000003E-3</v>
      </c>
      <c r="K159">
        <f t="shared" si="8"/>
        <v>3.7383190883190785E-3</v>
      </c>
      <c r="L159">
        <f t="shared" si="6"/>
        <v>3.3332041890130643E-2</v>
      </c>
    </row>
    <row r="160" spans="1:12">
      <c r="A160">
        <v>197604</v>
      </c>
      <c r="B160">
        <f>'10-T-weights5'!B156</f>
        <v>-1.0700000000000001E-2</v>
      </c>
      <c r="C160">
        <f t="shared" si="7"/>
        <v>-1.4361680911680923E-2</v>
      </c>
      <c r="D160">
        <v>8.0000000000000004E-4</v>
      </c>
      <c r="E160">
        <v>-1.4000000000000002E-3</v>
      </c>
      <c r="F160">
        <v>4.0000000000000001E-3</v>
      </c>
      <c r="G160">
        <v>-1.0800000000000001E-2</v>
      </c>
      <c r="I160">
        <v>-2.5499999999999998E-2</v>
      </c>
      <c r="K160">
        <f t="shared" si="8"/>
        <v>-2.9161680911680921E-2</v>
      </c>
      <c r="L160">
        <f t="shared" si="6"/>
        <v>-3.4430542621157516E-2</v>
      </c>
    </row>
    <row r="161" spans="1:12">
      <c r="A161">
        <v>197605</v>
      </c>
      <c r="B161">
        <f>'10-T-weights5'!B157</f>
        <v>-9.7000000000000003E-3</v>
      </c>
      <c r="C161">
        <f t="shared" si="7"/>
        <v>-1.3361680911680923E-2</v>
      </c>
      <c r="D161">
        <v>-1.1000000000000001E-2</v>
      </c>
      <c r="E161">
        <v>-1.3500000000000002E-2</v>
      </c>
      <c r="F161">
        <v>2.4500000000000001E-2</v>
      </c>
      <c r="G161">
        <v>-1.3999999999999999E-2</v>
      </c>
      <c r="I161">
        <v>-2.69E-2</v>
      </c>
      <c r="K161">
        <f t="shared" si="8"/>
        <v>-3.0561680911680923E-2</v>
      </c>
      <c r="L161">
        <f t="shared" si="6"/>
        <v>-6.6446461690029407E-3</v>
      </c>
    </row>
    <row r="162" spans="1:12">
      <c r="A162">
        <v>197606</v>
      </c>
      <c r="B162">
        <f>'10-T-weights5'!B158</f>
        <v>4.48E-2</v>
      </c>
      <c r="C162">
        <f t="shared" si="7"/>
        <v>4.1138319088319081E-2</v>
      </c>
      <c r="D162">
        <v>-1.0700000000000001E-2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8"/>
        <v>4.2738319088319078E-2</v>
      </c>
      <c r="L162">
        <f t="shared" si="6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7"/>
        <v>-9.6616809116809223E-3</v>
      </c>
      <c r="D163">
        <v>6.3E-3</v>
      </c>
      <c r="E163">
        <v>1.7299999999999999E-2</v>
      </c>
      <c r="F163">
        <v>-1.0500000000000001E-2</v>
      </c>
      <c r="G163">
        <v>2.8000000000000004E-3</v>
      </c>
      <c r="I163">
        <v>-1.1399999999999999E-2</v>
      </c>
      <c r="K163">
        <f t="shared" si="8"/>
        <v>-1.5061680911680921E-2</v>
      </c>
      <c r="L163">
        <f t="shared" si="6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7"/>
        <v>-5.0616809116809224E-3</v>
      </c>
      <c r="D164">
        <v>-1.9800000000000002E-2</v>
      </c>
      <c r="E164">
        <v>8.1000000000000013E-3</v>
      </c>
      <c r="F164">
        <v>-4.0999999999999995E-3</v>
      </c>
      <c r="G164">
        <v>-5.5000000000000005E-3</v>
      </c>
      <c r="I164">
        <v>-2.2000000000000002E-2</v>
      </c>
      <c r="K164">
        <f t="shared" si="8"/>
        <v>-2.5661680911680924E-2</v>
      </c>
      <c r="L164">
        <f t="shared" si="6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7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8"/>
        <v>2.2538319088319079E-2</v>
      </c>
      <c r="L165">
        <f t="shared" si="6"/>
        <v>1.1112538223874015E-2</v>
      </c>
    </row>
    <row r="166" spans="1:12">
      <c r="A166">
        <v>197610</v>
      </c>
      <c r="B166">
        <f>'10-T-weights5'!B162</f>
        <v>-2.01E-2</v>
      </c>
      <c r="C166">
        <f t="shared" si="7"/>
        <v>-2.3761680911680922E-2</v>
      </c>
      <c r="D166">
        <v>1.3000000000000002E-3</v>
      </c>
      <c r="E166">
        <v>-1.8E-3</v>
      </c>
      <c r="F166">
        <v>-1.9E-3</v>
      </c>
      <c r="G166">
        <v>-3.7000000000000002E-3</v>
      </c>
      <c r="I166">
        <v>-3.4300000000000004E-2</v>
      </c>
      <c r="K166">
        <f t="shared" si="8"/>
        <v>-3.7961680911680923E-2</v>
      </c>
      <c r="L166">
        <f t="shared" si="6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7"/>
        <v>3.9383190883190786E-3</v>
      </c>
      <c r="D167">
        <v>2.6600000000000002E-2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8"/>
        <v>2.7938319088319081E-2</v>
      </c>
      <c r="L167">
        <f t="shared" si="6"/>
        <v>-8.1527357918671946E-3</v>
      </c>
    </row>
    <row r="168" spans="1:12">
      <c r="A168">
        <v>197612</v>
      </c>
      <c r="B168">
        <f>'10-T-weights5'!B164</f>
        <v>6.0499999999999998E-2</v>
      </c>
      <c r="C168">
        <f t="shared" si="7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2.2799999999999997E-2</v>
      </c>
      <c r="I168">
        <v>8.2899999999999988E-2</v>
      </c>
      <c r="K168">
        <f t="shared" si="8"/>
        <v>7.9238319088319062E-2</v>
      </c>
      <c r="L168">
        <f t="shared" si="6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7"/>
        <v>-4.0561680911680921E-2</v>
      </c>
      <c r="D169">
        <v>5.9000000000000004E-2</v>
      </c>
      <c r="E169">
        <v>4.2699999999999995E-2</v>
      </c>
      <c r="F169">
        <v>-5.1000000000000004E-3</v>
      </c>
      <c r="G169">
        <v>1.9699999999999999E-2</v>
      </c>
      <c r="I169">
        <v>2.4900000000000002E-2</v>
      </c>
      <c r="K169">
        <f t="shared" si="8"/>
        <v>2.123831908831908E-2</v>
      </c>
      <c r="L169">
        <f t="shared" si="6"/>
        <v>2.4874393217171692E-2</v>
      </c>
    </row>
    <row r="170" spans="1:12">
      <c r="A170">
        <v>197702</v>
      </c>
      <c r="B170">
        <f>'10-T-weights5'!B166</f>
        <v>-1.5900000000000001E-2</v>
      </c>
      <c r="C170">
        <f t="shared" si="7"/>
        <v>-1.9561680911680923E-2</v>
      </c>
      <c r="D170">
        <v>1.0700000000000001E-2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8"/>
        <v>-2.2861680911680921E-2</v>
      </c>
      <c r="L170">
        <f t="shared" si="6"/>
        <v>-2.3046503735961558E-2</v>
      </c>
    </row>
    <row r="171" spans="1:12">
      <c r="A171">
        <v>197703</v>
      </c>
      <c r="B171">
        <f>'10-T-weights5'!B167</f>
        <v>-9.9000000000000025E-3</v>
      </c>
      <c r="C171">
        <f t="shared" si="7"/>
        <v>-1.3561680911680925E-2</v>
      </c>
      <c r="D171">
        <v>1.3100000000000001E-2</v>
      </c>
      <c r="E171">
        <v>1.0900000000000002E-2</v>
      </c>
      <c r="F171">
        <v>-3.0000000000000001E-3</v>
      </c>
      <c r="G171">
        <v>-5.9999999999999995E-4</v>
      </c>
      <c r="I171">
        <v>-6.9999999999999993E-3</v>
      </c>
      <c r="K171">
        <f t="shared" si="8"/>
        <v>-1.0661680911680921E-2</v>
      </c>
      <c r="L171">
        <f t="shared" si="6"/>
        <v>-1.6307067092395617E-2</v>
      </c>
    </row>
    <row r="172" spans="1:12">
      <c r="A172">
        <v>197704</v>
      </c>
      <c r="B172">
        <f>'10-T-weights5'!B168</f>
        <v>5.3E-3</v>
      </c>
      <c r="C172">
        <f t="shared" si="7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1.1399999999999999E-2</v>
      </c>
      <c r="I172">
        <v>3.9700000000000006E-2</v>
      </c>
      <c r="K172">
        <f t="shared" si="8"/>
        <v>3.6038319088319087E-2</v>
      </c>
      <c r="L172">
        <f t="shared" si="6"/>
        <v>-1.5485579402757389E-2</v>
      </c>
    </row>
    <row r="173" spans="1:12">
      <c r="A173">
        <v>197705</v>
      </c>
      <c r="B173">
        <f>'10-T-weights5'!B169</f>
        <v>-1.0799999999999999E-2</v>
      </c>
      <c r="C173">
        <f t="shared" si="7"/>
        <v>-1.4461680911680921E-2</v>
      </c>
      <c r="D173">
        <v>1.3100000000000001E-2</v>
      </c>
      <c r="E173">
        <v>8.5000000000000006E-3</v>
      </c>
      <c r="F173">
        <v>3.3000000000000004E-3</v>
      </c>
      <c r="G173">
        <v>1.9E-3</v>
      </c>
      <c r="I173">
        <v>6.9999999999999993E-3</v>
      </c>
      <c r="K173">
        <f t="shared" si="8"/>
        <v>3.3383190883190775E-3</v>
      </c>
      <c r="L173">
        <f t="shared" si="6"/>
        <v>2.1952009443192786E-3</v>
      </c>
    </row>
    <row r="174" spans="1:12">
      <c r="A174">
        <v>197706</v>
      </c>
      <c r="B174">
        <f>'10-T-weights5'!B170</f>
        <v>5.1100000000000007E-2</v>
      </c>
      <c r="C174">
        <f t="shared" si="7"/>
        <v>4.7438319088319088E-2</v>
      </c>
      <c r="D174">
        <v>2.0800000000000003E-2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8"/>
        <v>6.643831908831907E-2</v>
      </c>
      <c r="L174">
        <f t="shared" si="6"/>
        <v>4.9726453434391402E-2</v>
      </c>
    </row>
    <row r="175" spans="1:12">
      <c r="A175">
        <v>197707</v>
      </c>
      <c r="B175">
        <f>'10-T-weights5'!B171</f>
        <v>-1.2699999999999999E-2</v>
      </c>
      <c r="C175">
        <f t="shared" si="7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-1.0900000000000002E-2</v>
      </c>
      <c r="K175">
        <f t="shared" si="8"/>
        <v>-1.4561680911680924E-2</v>
      </c>
      <c r="L175">
        <f t="shared" si="6"/>
        <v>1.4939471806501937E-2</v>
      </c>
    </row>
    <row r="176" spans="1:12">
      <c r="A176">
        <v>197708</v>
      </c>
      <c r="B176">
        <f>'10-T-weights5'!B172</f>
        <v>-1.3100000000000001E-2</v>
      </c>
      <c r="C176">
        <f t="shared" si="7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8"/>
        <v>-2.3661680911680923E-2</v>
      </c>
      <c r="L176">
        <f t="shared" si="6"/>
        <v>3.5812120684540483E-4</v>
      </c>
    </row>
    <row r="177" spans="1:12">
      <c r="A177">
        <v>197709</v>
      </c>
      <c r="B177">
        <f>'10-T-weights5'!B173</f>
        <v>1.5999999999999999E-3</v>
      </c>
      <c r="C177">
        <f t="shared" si="7"/>
        <v>-2.0616809116809219E-3</v>
      </c>
      <c r="D177">
        <v>1.43E-2</v>
      </c>
      <c r="E177">
        <v>-4.5999999999999999E-3</v>
      </c>
      <c r="F177">
        <v>1.4499999999999999E-2</v>
      </c>
      <c r="G177">
        <v>-8.3999999999999995E-3</v>
      </c>
      <c r="I177">
        <v>1.01E-2</v>
      </c>
      <c r="K177">
        <f t="shared" si="8"/>
        <v>6.4383190883190774E-3</v>
      </c>
      <c r="L177">
        <f t="shared" si="6"/>
        <v>1.4347306364712778E-2</v>
      </c>
    </row>
    <row r="178" spans="1:12">
      <c r="A178">
        <v>197710</v>
      </c>
      <c r="B178">
        <f>'10-T-weights5'!B174</f>
        <v>-3.8899999999999997E-2</v>
      </c>
      <c r="C178">
        <f t="shared" si="7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-4.7400000000000005E-2</v>
      </c>
      <c r="K178">
        <f t="shared" si="8"/>
        <v>-5.1061680911680923E-2</v>
      </c>
      <c r="L178">
        <f t="shared" si="6"/>
        <v>-5.1119907261984641E-2</v>
      </c>
    </row>
    <row r="179" spans="1:12">
      <c r="A179">
        <v>197711</v>
      </c>
      <c r="B179">
        <f>'10-T-weights5'!B175</f>
        <v>4.4999999999999998E-2</v>
      </c>
      <c r="C179">
        <f t="shared" si="7"/>
        <v>4.133831908831908E-2</v>
      </c>
      <c r="D179">
        <v>3.6400000000000002E-2</v>
      </c>
      <c r="E179">
        <v>2.3E-3</v>
      </c>
      <c r="F179">
        <v>-1.3000000000000002E-3</v>
      </c>
      <c r="G179">
        <v>7.0999999999999995E-3</v>
      </c>
      <c r="I179">
        <v>8.5800000000000001E-2</v>
      </c>
      <c r="K179">
        <f t="shared" si="8"/>
        <v>8.2138319088319076E-2</v>
      </c>
      <c r="L179">
        <f t="shared" si="6"/>
        <v>8.15010650929857E-2</v>
      </c>
    </row>
    <row r="180" spans="1:12">
      <c r="A180">
        <v>197712</v>
      </c>
      <c r="B180">
        <f>'10-T-weights5'!B176</f>
        <v>7.6E-3</v>
      </c>
      <c r="C180">
        <f t="shared" si="7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8"/>
        <v>1.5838319088319078E-2</v>
      </c>
      <c r="L180">
        <f t="shared" si="6"/>
        <v>1.4656510693950724E-2</v>
      </c>
    </row>
    <row r="181" spans="1:12">
      <c r="A181">
        <v>197801</v>
      </c>
      <c r="B181">
        <f>'10-T-weights5'!B177</f>
        <v>-5.5199999999999999E-2</v>
      </c>
      <c r="C181">
        <f t="shared" si="7"/>
        <v>-5.8861680911680918E-2</v>
      </c>
      <c r="D181">
        <v>2.7200000000000002E-2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8"/>
        <v>-4.076168091168092E-2</v>
      </c>
      <c r="L181">
        <f t="shared" si="6"/>
        <v>-4.5519707787158685E-2</v>
      </c>
    </row>
    <row r="182" spans="1:12">
      <c r="A182">
        <v>197802</v>
      </c>
      <c r="B182">
        <f>'10-T-weights5'!B178</f>
        <v>-9.1999999999999998E-3</v>
      </c>
      <c r="C182">
        <f t="shared" si="7"/>
        <v>-1.2861680911680922E-2</v>
      </c>
      <c r="D182">
        <v>3.7000000000000005E-2</v>
      </c>
      <c r="E182">
        <v>8.3000000000000001E-3</v>
      </c>
      <c r="F182">
        <v>3.3000000000000004E-3</v>
      </c>
      <c r="G182">
        <v>1.0400000000000001E-2</v>
      </c>
      <c r="I182">
        <v>1.5100000000000001E-2</v>
      </c>
      <c r="K182">
        <f t="shared" si="8"/>
        <v>1.1438319088319078E-2</v>
      </c>
      <c r="L182">
        <f t="shared" si="6"/>
        <v>4.2644969547419614E-2</v>
      </c>
    </row>
    <row r="183" spans="1:12">
      <c r="A183">
        <v>197803</v>
      </c>
      <c r="B183">
        <f>'10-T-weights5'!B179</f>
        <v>3.3800000000000004E-2</v>
      </c>
      <c r="C183">
        <f t="shared" si="7"/>
        <v>3.0138319088319081E-2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8"/>
        <v>6.1138319088319092E-2</v>
      </c>
      <c r="L183">
        <f t="shared" si="6"/>
        <v>8.9449183106236341E-2</v>
      </c>
    </row>
    <row r="184" spans="1:12">
      <c r="A184">
        <v>197804</v>
      </c>
      <c r="B184">
        <f>'10-T-weights5'!B180</f>
        <v>8.4199999999999997E-2</v>
      </c>
      <c r="C184">
        <f t="shared" si="7"/>
        <v>8.0538319088319071E-2</v>
      </c>
      <c r="D184">
        <v>-2.7000000000000001E-3</v>
      </c>
      <c r="E184">
        <v>-3.5700000000000003E-2</v>
      </c>
      <c r="F184">
        <v>2.8300000000000002E-2</v>
      </c>
      <c r="G184">
        <v>-1.29E-2</v>
      </c>
      <c r="I184">
        <v>0.1014</v>
      </c>
      <c r="K184">
        <f t="shared" si="8"/>
        <v>9.7738319088319078E-2</v>
      </c>
      <c r="L184">
        <f t="shared" si="6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7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8"/>
        <v>8.5938319088319087E-2</v>
      </c>
      <c r="L185">
        <f t="shared" si="6"/>
        <v>6.6558698942096914E-2</v>
      </c>
    </row>
    <row r="186" spans="1:12">
      <c r="A186">
        <v>197806</v>
      </c>
      <c r="B186">
        <f>'10-T-weights5'!B182</f>
        <v>-1.1499999999999998E-2</v>
      </c>
      <c r="C186">
        <f t="shared" si="7"/>
        <v>-1.516168091168092E-2</v>
      </c>
      <c r="D186">
        <v>1.5600000000000001E-2</v>
      </c>
      <c r="E186">
        <v>5.6999999999999993E-3</v>
      </c>
      <c r="F186">
        <v>-1.41E-2</v>
      </c>
      <c r="G186">
        <v>-2.9999999999999997E-4</v>
      </c>
      <c r="I186">
        <v>2.2000000000000002E-2</v>
      </c>
      <c r="K186">
        <f t="shared" si="8"/>
        <v>1.833831908831908E-2</v>
      </c>
      <c r="L186">
        <f t="shared" si="6"/>
        <v>-3.4085205169729384E-2</v>
      </c>
    </row>
    <row r="187" spans="1:12">
      <c r="A187">
        <v>197807</v>
      </c>
      <c r="B187">
        <f>'10-T-weights5'!B183</f>
        <v>5.6700000000000007E-2</v>
      </c>
      <c r="C187">
        <f t="shared" si="7"/>
        <v>5.3038319088319089E-2</v>
      </c>
      <c r="D187">
        <v>1.3000000000000002E-3</v>
      </c>
      <c r="E187">
        <v>-1.11E-2</v>
      </c>
      <c r="F187">
        <v>1.5500000000000002E-2</v>
      </c>
      <c r="G187">
        <v>-7.9000000000000008E-3</v>
      </c>
      <c r="I187">
        <v>9.9600000000000008E-2</v>
      </c>
      <c r="K187">
        <f t="shared" si="8"/>
        <v>9.5938319088319082E-2</v>
      </c>
      <c r="L187">
        <f t="shared" si="6"/>
        <v>6.6466894819749128E-2</v>
      </c>
    </row>
    <row r="188" spans="1:12">
      <c r="A188">
        <v>197808</v>
      </c>
      <c r="B188">
        <f>'10-T-weights5'!B184</f>
        <v>4.3099999999999999E-2</v>
      </c>
      <c r="C188">
        <f t="shared" si="7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8"/>
        <v>0.10043831908831907</v>
      </c>
      <c r="L188">
        <f t="shared" si="6"/>
        <v>0.11338955222331752</v>
      </c>
    </row>
    <row r="189" spans="1:12">
      <c r="A189">
        <v>197809</v>
      </c>
      <c r="B189">
        <f>'10-T-weights5'!B185</f>
        <v>-8.0999999999999996E-3</v>
      </c>
      <c r="C189">
        <f t="shared" si="7"/>
        <v>-1.1761680911680922E-2</v>
      </c>
      <c r="D189">
        <v>-3.0999999999999999E-3</v>
      </c>
      <c r="E189">
        <v>1.8600000000000002E-2</v>
      </c>
      <c r="F189">
        <v>-6.5000000000000006E-3</v>
      </c>
      <c r="G189">
        <v>1.8000000000000002E-2</v>
      </c>
      <c r="I189">
        <v>-4.5999999999999999E-2</v>
      </c>
      <c r="K189">
        <f t="shared" si="8"/>
        <v>-4.9661680911680918E-2</v>
      </c>
      <c r="L189">
        <f t="shared" si="6"/>
        <v>1.4203871642798856E-2</v>
      </c>
    </row>
    <row r="190" spans="1:12">
      <c r="A190">
        <v>197810</v>
      </c>
      <c r="B190">
        <f>'10-T-weights5'!B186</f>
        <v>-0.1123</v>
      </c>
      <c r="C190">
        <f t="shared" si="7"/>
        <v>-0.11596168091168092</v>
      </c>
      <c r="D190">
        <v>-0.10070000000000001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8"/>
        <v>-0.23456168091168092</v>
      </c>
      <c r="L190">
        <f t="shared" si="6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7"/>
        <v>3.0438319088319076E-2</v>
      </c>
      <c r="D191">
        <v>2.8500000000000001E-2</v>
      </c>
      <c r="E191">
        <v>-2.1400000000000002E-2</v>
      </c>
      <c r="F191">
        <v>1.11E-2</v>
      </c>
      <c r="G191">
        <v>-1.1899999999999999E-2</v>
      </c>
      <c r="I191">
        <v>0.11119999999999999</v>
      </c>
      <c r="K191">
        <f t="shared" si="8"/>
        <v>0.10753831908831907</v>
      </c>
      <c r="L191">
        <f t="shared" si="6"/>
        <v>4.7634549439069793E-2</v>
      </c>
    </row>
    <row r="192" spans="1:12">
      <c r="A192">
        <v>197812</v>
      </c>
      <c r="B192">
        <f>'10-T-weights5'!B188</f>
        <v>1.66E-2</v>
      </c>
      <c r="C192">
        <f t="shared" si="7"/>
        <v>1.2938319088319078E-2</v>
      </c>
      <c r="D192">
        <v>1.1200000000000002E-2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8"/>
        <v>3.1938319088319081E-2</v>
      </c>
      <c r="L192">
        <f t="shared" si="6"/>
        <v>2.9043692670881964E-2</v>
      </c>
    </row>
    <row r="193" spans="1:12">
      <c r="A193">
        <v>197901</v>
      </c>
      <c r="B193">
        <f>'10-T-weights5'!B189</f>
        <v>0.05</v>
      </c>
      <c r="C193">
        <f t="shared" si="7"/>
        <v>4.6338319088319084E-2</v>
      </c>
      <c r="D193">
        <v>3.7900000000000003E-2</v>
      </c>
      <c r="E193">
        <v>2.2000000000000002E-2</v>
      </c>
      <c r="F193">
        <v>-2.4900000000000002E-2</v>
      </c>
      <c r="G193">
        <v>1.5100000000000001E-2</v>
      </c>
      <c r="I193">
        <v>6.7000000000000004E-2</v>
      </c>
      <c r="K193">
        <f t="shared" si="8"/>
        <v>6.3338319088319078E-2</v>
      </c>
      <c r="L193">
        <f t="shared" si="6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7"/>
        <v>-3.1961680911680918E-2</v>
      </c>
      <c r="D194">
        <v>5.4000000000000003E-3</v>
      </c>
      <c r="E194">
        <v>1.1399999999999999E-2</v>
      </c>
      <c r="F194">
        <v>-1.11E-2</v>
      </c>
      <c r="G194">
        <v>9.5999999999999992E-3</v>
      </c>
      <c r="I194">
        <v>-4.2900000000000001E-2</v>
      </c>
      <c r="K194">
        <f t="shared" si="8"/>
        <v>-4.6561680911680919E-2</v>
      </c>
      <c r="L194">
        <f t="shared" si="6"/>
        <v>-2.821971062301051E-2</v>
      </c>
    </row>
    <row r="195" spans="1:12">
      <c r="A195">
        <v>197903</v>
      </c>
      <c r="B195">
        <f>'10-T-weights5'!B191</f>
        <v>6.4899999999999999E-2</v>
      </c>
      <c r="C195">
        <f t="shared" si="7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2.8000000000000004E-3</v>
      </c>
      <c r="I195">
        <v>0.1057</v>
      </c>
      <c r="K195">
        <f t="shared" si="8"/>
        <v>0.10203831908831908</v>
      </c>
      <c r="L195">
        <f t="shared" si="6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7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1.5500000000000002E-2</v>
      </c>
      <c r="K196">
        <f t="shared" si="8"/>
        <v>1.1838319088319079E-2</v>
      </c>
      <c r="L196">
        <f t="shared" si="6"/>
        <v>4.198582355590378E-2</v>
      </c>
    </row>
    <row r="197" spans="1:12">
      <c r="A197">
        <v>197905</v>
      </c>
      <c r="B197">
        <f>'10-T-weights5'!B193</f>
        <v>-1.3900000000000003E-2</v>
      </c>
      <c r="C197">
        <f t="shared" si="7"/>
        <v>-1.7561680911680925E-2</v>
      </c>
      <c r="D197">
        <v>1.7000000000000001E-3</v>
      </c>
      <c r="E197">
        <v>1.3200000000000002E-2</v>
      </c>
      <c r="F197">
        <v>-1.5500000000000002E-2</v>
      </c>
      <c r="G197">
        <v>-2.7000000000000001E-3</v>
      </c>
      <c r="I197">
        <v>-1.44E-2</v>
      </c>
      <c r="K197">
        <f t="shared" si="8"/>
        <v>-1.8061680911680922E-2</v>
      </c>
      <c r="L197">
        <f t="shared" si="6"/>
        <v>-5.7943476519263154E-2</v>
      </c>
    </row>
    <row r="198" spans="1:12">
      <c r="A198">
        <v>197906</v>
      </c>
      <c r="B198">
        <f>'10-T-weights5'!B194</f>
        <v>4.6600000000000003E-2</v>
      </c>
      <c r="C198">
        <f t="shared" si="7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8"/>
        <v>6.4038319088319071E-2</v>
      </c>
      <c r="L198">
        <f t="shared" si="6"/>
        <v>1.7757130420829551E-3</v>
      </c>
    </row>
    <row r="199" spans="1:12">
      <c r="A199">
        <v>197907</v>
      </c>
      <c r="B199">
        <f>'10-T-weights5'!B195</f>
        <v>1.5899999999999997E-2</v>
      </c>
      <c r="C199">
        <f t="shared" si="7"/>
        <v>1.2238319088319075E-2</v>
      </c>
      <c r="D199">
        <v>1.2700000000000001E-2</v>
      </c>
      <c r="E199">
        <v>1.8600000000000002E-2</v>
      </c>
      <c r="F199">
        <v>-2.8000000000000004E-3</v>
      </c>
      <c r="G199">
        <v>7.0999999999999995E-3</v>
      </c>
      <c r="I199">
        <v>1.7299999999999999E-2</v>
      </c>
      <c r="K199">
        <f t="shared" si="8"/>
        <v>1.3638319088319077E-2</v>
      </c>
      <c r="L199">
        <f t="shared" ref="L199:L262" si="9">SUMPRODUCT($L$3:$P$3,C199:G199)</f>
        <v>2.6911906035317307E-2</v>
      </c>
    </row>
    <row r="200" spans="1:12">
      <c r="A200">
        <v>197908</v>
      </c>
      <c r="B200">
        <f>'10-T-weights5'!B196</f>
        <v>6.3E-2</v>
      </c>
      <c r="C200">
        <f t="shared" ref="C200:C263" si="10">B200-$H$3</f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ref="K200:K263" si="11">I200-$H$3</f>
        <v>7.0338319088319085E-2</v>
      </c>
      <c r="L200">
        <f t="shared" si="9"/>
        <v>6.9697517775203249E-2</v>
      </c>
    </row>
    <row r="201" spans="1:12">
      <c r="A201">
        <v>197909</v>
      </c>
      <c r="B201">
        <f>'10-T-weights5'!B197</f>
        <v>1.0000000000000113E-4</v>
      </c>
      <c r="C201">
        <f t="shared" si="10"/>
        <v>-3.5616809116809207E-3</v>
      </c>
      <c r="D201">
        <v>-3.3000000000000004E-3</v>
      </c>
      <c r="E201">
        <v>-9.0000000000000011E-3</v>
      </c>
      <c r="F201">
        <v>0.01</v>
      </c>
      <c r="G201">
        <v>3.2000000000000002E-3</v>
      </c>
      <c r="I201">
        <v>4.3899999999999995E-2</v>
      </c>
      <c r="K201">
        <f t="shared" si="11"/>
        <v>4.0238319088319076E-2</v>
      </c>
      <c r="L201">
        <f t="shared" si="9"/>
        <v>2.5063474659988972E-2</v>
      </c>
    </row>
    <row r="202" spans="1:12">
      <c r="A202">
        <v>197910</v>
      </c>
      <c r="B202">
        <f>'10-T-weights5'!B198</f>
        <v>-7.2300000000000003E-2</v>
      </c>
      <c r="C202">
        <f t="shared" si="10"/>
        <v>-7.5961680911680929E-2</v>
      </c>
      <c r="D202">
        <v>-3.5099999999999999E-2</v>
      </c>
      <c r="E202">
        <v>-1.8600000000000002E-2</v>
      </c>
      <c r="F202">
        <v>0.01</v>
      </c>
      <c r="G202">
        <v>1E-3</v>
      </c>
      <c r="I202">
        <v>-6.54E-2</v>
      </c>
      <c r="K202">
        <f t="shared" si="11"/>
        <v>-6.9061680911680925E-2</v>
      </c>
      <c r="L202">
        <f t="shared" si="9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10"/>
        <v>5.8338319088319081E-2</v>
      </c>
      <c r="D203">
        <v>2.53E-2</v>
      </c>
      <c r="E203">
        <v>-3.2799999999999996E-2</v>
      </c>
      <c r="F203">
        <v>2.0000000000000001E-4</v>
      </c>
      <c r="G203">
        <v>-2.12E-2</v>
      </c>
      <c r="I203">
        <v>0.125</v>
      </c>
      <c r="K203">
        <f t="shared" si="11"/>
        <v>0.12133831908831907</v>
      </c>
      <c r="L203">
        <f t="shared" si="9"/>
        <v>3.289821868492375E-2</v>
      </c>
    </row>
    <row r="204" spans="1:12">
      <c r="A204">
        <v>197912</v>
      </c>
      <c r="B204">
        <f>'10-T-weights5'!B200</f>
        <v>2.7400000000000001E-2</v>
      </c>
      <c r="C204">
        <f t="shared" si="10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1"/>
        <v>8.5538319088319076E-2</v>
      </c>
      <c r="L204">
        <f t="shared" si="9"/>
        <v>2.4181767069908301E-2</v>
      </c>
    </row>
    <row r="205" spans="1:12">
      <c r="A205">
        <v>198001</v>
      </c>
      <c r="B205">
        <f>'10-T-weights5'!B201</f>
        <v>6.3099999999999989E-2</v>
      </c>
      <c r="C205">
        <f t="shared" si="10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0.13820000000000002</v>
      </c>
      <c r="K205">
        <f t="shared" si="11"/>
        <v>0.13453831908831909</v>
      </c>
      <c r="L205">
        <f t="shared" si="9"/>
        <v>7.8436691890583526E-2</v>
      </c>
    </row>
    <row r="206" spans="1:12">
      <c r="A206">
        <v>198002</v>
      </c>
      <c r="B206">
        <f>'10-T-weights5'!B202</f>
        <v>-3.3000000000000008E-3</v>
      </c>
      <c r="C206">
        <f t="shared" si="10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2.7000000000000003E-2</v>
      </c>
      <c r="I206">
        <v>5.1299999999999998E-2</v>
      </c>
      <c r="K206">
        <f t="shared" si="11"/>
        <v>4.763831908831908E-2</v>
      </c>
      <c r="L206">
        <f t="shared" si="9"/>
        <v>5.2827865948334406E-2</v>
      </c>
    </row>
    <row r="207" spans="1:12">
      <c r="A207">
        <v>198003</v>
      </c>
      <c r="B207">
        <f>'10-T-weights5'!B203</f>
        <v>-0.1169</v>
      </c>
      <c r="C207">
        <f t="shared" si="10"/>
        <v>-0.12056168091168093</v>
      </c>
      <c r="D207">
        <v>-6.9199999999999998E-2</v>
      </c>
      <c r="E207">
        <v>-1.01E-2</v>
      </c>
      <c r="F207">
        <v>1.4499999999999999E-2</v>
      </c>
      <c r="G207">
        <v>-1.1599999999999999E-2</v>
      </c>
      <c r="I207">
        <v>-0.21249999999999999</v>
      </c>
      <c r="K207">
        <f t="shared" si="11"/>
        <v>-0.21616168091168092</v>
      </c>
      <c r="L207">
        <f t="shared" si="9"/>
        <v>-0.16703832954062245</v>
      </c>
    </row>
    <row r="208" spans="1:12">
      <c r="A208">
        <v>198004</v>
      </c>
      <c r="B208">
        <f>'10-T-weights5'!B204</f>
        <v>5.2300000000000006E-2</v>
      </c>
      <c r="C208">
        <f t="shared" si="10"/>
        <v>4.8638319088319087E-2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1"/>
        <v>6.5038319088319071E-2</v>
      </c>
      <c r="L208">
        <f t="shared" si="9"/>
        <v>1.9983702589040492E-2</v>
      </c>
    </row>
    <row r="209" spans="1:12">
      <c r="A209">
        <v>198005</v>
      </c>
      <c r="B209">
        <f>'10-T-weights5'!B205</f>
        <v>6.0700000000000004E-2</v>
      </c>
      <c r="C209">
        <f t="shared" si="10"/>
        <v>5.7038319088319085E-2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1"/>
        <v>3.4138319088319082E-2</v>
      </c>
      <c r="L209">
        <f t="shared" si="9"/>
        <v>6.7233937005855837E-2</v>
      </c>
    </row>
    <row r="210" spans="1:12">
      <c r="A210">
        <v>198006</v>
      </c>
      <c r="B210">
        <f>'10-T-weights5'!B206</f>
        <v>3.6700000000000003E-2</v>
      </c>
      <c r="C210">
        <f t="shared" si="10"/>
        <v>3.3038319088319085E-2</v>
      </c>
      <c r="D210">
        <v>1.4199999999999999E-2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1"/>
        <v>5.913831908831909E-2</v>
      </c>
      <c r="L210">
        <f t="shared" si="9"/>
        <v>8.7788958562010633E-3</v>
      </c>
    </row>
    <row r="211" spans="1:12">
      <c r="A211">
        <v>198007</v>
      </c>
      <c r="B211">
        <f>'10-T-weights5'!B207</f>
        <v>7.0199999999999999E-2</v>
      </c>
      <c r="C211">
        <f t="shared" si="10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-2.3799999999999998E-2</v>
      </c>
      <c r="I211">
        <v>6.4399999999999999E-2</v>
      </c>
      <c r="K211">
        <f t="shared" si="11"/>
        <v>6.073831908831908E-2</v>
      </c>
      <c r="L211">
        <f t="shared" si="9"/>
        <v>0.13107636191547367</v>
      </c>
    </row>
    <row r="212" spans="1:12">
      <c r="A212">
        <v>198008</v>
      </c>
      <c r="B212">
        <f>'10-T-weights5'!B208</f>
        <v>2.4400000000000002E-2</v>
      </c>
      <c r="C212">
        <f t="shared" si="10"/>
        <v>2.0738319088319079E-2</v>
      </c>
      <c r="D212">
        <v>4.2599999999999999E-2</v>
      </c>
      <c r="E212">
        <v>-2.6099999999999998E-2</v>
      </c>
      <c r="F212">
        <v>2.07E-2</v>
      </c>
      <c r="G212">
        <v>-8.6999999999999994E-3</v>
      </c>
      <c r="I212">
        <v>5.1700000000000003E-2</v>
      </c>
      <c r="K212">
        <f t="shared" si="11"/>
        <v>4.8038319088319084E-2</v>
      </c>
      <c r="L212">
        <f t="shared" si="9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10"/>
        <v>2.5738319088319077E-2</v>
      </c>
      <c r="D213">
        <v>6.6000000000000008E-3</v>
      </c>
      <c r="E213">
        <v>-4.58E-2</v>
      </c>
      <c r="F213">
        <v>1.9E-2</v>
      </c>
      <c r="G213">
        <v>-2.7700000000000002E-2</v>
      </c>
      <c r="I213">
        <v>8.3299999999999999E-2</v>
      </c>
      <c r="K213">
        <f t="shared" si="11"/>
        <v>7.9638319088319073E-2</v>
      </c>
      <c r="L213">
        <f t="shared" si="9"/>
        <v>1.082854335277908E-2</v>
      </c>
    </row>
    <row r="214" spans="1:12">
      <c r="A214">
        <v>198010</v>
      </c>
      <c r="B214">
        <f>'10-T-weights5'!B210</f>
        <v>2.01E-2</v>
      </c>
      <c r="C214">
        <f t="shared" si="10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1"/>
        <v>4.8438319088319082E-2</v>
      </c>
      <c r="L214">
        <f t="shared" si="9"/>
        <v>4.4070365335950754E-2</v>
      </c>
    </row>
    <row r="215" spans="1:12">
      <c r="A215">
        <v>198011</v>
      </c>
      <c r="B215">
        <f>'10-T-weights5'!B211</f>
        <v>0.1055</v>
      </c>
      <c r="C215">
        <f t="shared" si="10"/>
        <v>0.10183831908831907</v>
      </c>
      <c r="D215">
        <v>-3.3100000000000004E-2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1"/>
        <v>0.16843831908831908</v>
      </c>
      <c r="L215">
        <f t="shared" si="9"/>
        <v>4.6034779103280771E-2</v>
      </c>
    </row>
    <row r="216" spans="1:12">
      <c r="A216">
        <v>198012</v>
      </c>
      <c r="B216">
        <f>'10-T-weights5'!B212</f>
        <v>-3.2099999999999997E-2</v>
      </c>
      <c r="C216">
        <f t="shared" si="10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1"/>
        <v>-7.7661680911680936E-2</v>
      </c>
      <c r="L216">
        <f t="shared" si="9"/>
        <v>-4.0541962758773621E-2</v>
      </c>
    </row>
    <row r="217" spans="1:12">
      <c r="A217">
        <v>198101</v>
      </c>
      <c r="B217">
        <f>'10-T-weights5'!B213</f>
        <v>-0.04</v>
      </c>
      <c r="C217">
        <f t="shared" si="10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1"/>
        <v>-0.11616168091168093</v>
      </c>
      <c r="L217">
        <f t="shared" si="9"/>
        <v>7.811784716648118E-4</v>
      </c>
    </row>
    <row r="218" spans="1:12">
      <c r="A218">
        <v>198102</v>
      </c>
      <c r="B218">
        <f>'10-T-weights5'!B214</f>
        <v>1.6400000000000001E-2</v>
      </c>
      <c r="C218">
        <f t="shared" si="10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1"/>
        <v>-4.3616809116809215E-3</v>
      </c>
      <c r="L218">
        <f t="shared" si="9"/>
        <v>6.9328051614588729E-2</v>
      </c>
    </row>
    <row r="219" spans="1:12">
      <c r="A219">
        <v>198103</v>
      </c>
      <c r="B219">
        <f>'10-T-weights5'!B215</f>
        <v>4.7699999999999999E-2</v>
      </c>
      <c r="C219">
        <f t="shared" si="10"/>
        <v>4.4038319088319081E-2</v>
      </c>
      <c r="D219">
        <v>3.0299999999999997E-2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1"/>
        <v>8.0838319088319066E-2</v>
      </c>
      <c r="L219">
        <f t="shared" si="9"/>
        <v>5.8814785448855871E-3</v>
      </c>
    </row>
    <row r="220" spans="1:12">
      <c r="A220">
        <v>198104</v>
      </c>
      <c r="B220">
        <f>'10-T-weights5'!B216</f>
        <v>-1.03E-2</v>
      </c>
      <c r="C220">
        <f t="shared" si="10"/>
        <v>-1.3961680911680922E-2</v>
      </c>
      <c r="D220">
        <v>4.5899999999999996E-2</v>
      </c>
      <c r="E220">
        <v>2.2799999999999997E-2</v>
      </c>
      <c r="F220">
        <v>8.3000000000000001E-3</v>
      </c>
      <c r="G220">
        <v>1.2200000000000001E-2</v>
      </c>
      <c r="I220">
        <v>4.0000000000000001E-3</v>
      </c>
      <c r="K220">
        <f t="shared" si="11"/>
        <v>3.383190883190783E-4</v>
      </c>
      <c r="L220">
        <f t="shared" si="9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10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1"/>
        <v>6.023831908831908E-2</v>
      </c>
      <c r="L221">
        <f t="shared" si="9"/>
        <v>-8.0057438591610228E-3</v>
      </c>
    </row>
    <row r="222" spans="1:12">
      <c r="A222">
        <v>198106</v>
      </c>
      <c r="B222">
        <f>'10-T-weights5'!B218</f>
        <v>-1.0099999999999998E-2</v>
      </c>
      <c r="C222">
        <f t="shared" si="10"/>
        <v>-1.376168091168092E-2</v>
      </c>
      <c r="D222">
        <v>-9.4999999999999998E-3</v>
      </c>
      <c r="E222">
        <v>5.1299999999999998E-2</v>
      </c>
      <c r="F222">
        <v>-1.3700000000000002E-2</v>
      </c>
      <c r="G222">
        <v>2.69E-2</v>
      </c>
      <c r="I222">
        <v>-8.43E-2</v>
      </c>
      <c r="K222">
        <f t="shared" si="11"/>
        <v>-8.7961680911680926E-2</v>
      </c>
      <c r="L222">
        <f t="shared" si="9"/>
        <v>4.7489591257107305E-3</v>
      </c>
    </row>
    <row r="223" spans="1:12">
      <c r="A223">
        <v>198107</v>
      </c>
      <c r="B223">
        <f>'10-T-weights5'!B219</f>
        <v>-3.0000000000000009E-3</v>
      </c>
      <c r="C223">
        <f t="shared" si="10"/>
        <v>-6.6616809116809231E-3</v>
      </c>
      <c r="D223">
        <v>-2.0499999999999997E-2</v>
      </c>
      <c r="E223">
        <v>-4.8999999999999998E-3</v>
      </c>
      <c r="F223">
        <v>1.26E-2</v>
      </c>
      <c r="G223">
        <v>-2.5499999999999998E-2</v>
      </c>
      <c r="I223">
        <v>-2.4300000000000002E-2</v>
      </c>
      <c r="K223">
        <f t="shared" si="11"/>
        <v>-2.7961680911680924E-2</v>
      </c>
      <c r="L223">
        <f t="shared" si="9"/>
        <v>-6.2675041894136391E-2</v>
      </c>
    </row>
    <row r="224" spans="1:12">
      <c r="A224">
        <v>198108</v>
      </c>
      <c r="B224">
        <f>'10-T-weights5'!B220</f>
        <v>-5.7600000000000005E-2</v>
      </c>
      <c r="C224">
        <f t="shared" si="10"/>
        <v>-6.1261680911680924E-2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1"/>
        <v>-8.8861680911680924E-2</v>
      </c>
      <c r="L224">
        <f t="shared" si="9"/>
        <v>-6.1337000917504575E-2</v>
      </c>
    </row>
    <row r="225" spans="1:12">
      <c r="A225">
        <v>198109</v>
      </c>
      <c r="B225">
        <f>'10-T-weights5'!B221</f>
        <v>-5.9299999999999999E-2</v>
      </c>
      <c r="C225">
        <f t="shared" si="10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2.6099999999999998E-2</v>
      </c>
      <c r="I225">
        <v>-8.7400000000000005E-2</v>
      </c>
      <c r="K225">
        <f t="shared" si="11"/>
        <v>-9.1061680911680931E-2</v>
      </c>
      <c r="L225">
        <f t="shared" si="9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10"/>
        <v>5.7638319088319082E-2</v>
      </c>
      <c r="D226">
        <v>2.3599999999999999E-2</v>
      </c>
      <c r="E226">
        <v>-4.2099999999999999E-2</v>
      </c>
      <c r="F226">
        <v>3.1400000000000004E-2</v>
      </c>
      <c r="G226">
        <v>-3.0099999999999998E-2</v>
      </c>
      <c r="I226">
        <v>0.1207</v>
      </c>
      <c r="K226">
        <f t="shared" si="11"/>
        <v>0.11703831908831908</v>
      </c>
      <c r="L226">
        <f t="shared" si="9"/>
        <v>6.9597516413391763E-2</v>
      </c>
    </row>
    <row r="227" spans="1:12">
      <c r="A227">
        <v>198111</v>
      </c>
      <c r="B227">
        <f>'10-T-weights5'!B223</f>
        <v>4.4299999999999999E-2</v>
      </c>
      <c r="C227">
        <f t="shared" si="10"/>
        <v>4.063831908831908E-2</v>
      </c>
      <c r="D227">
        <v>-1.5100000000000001E-2</v>
      </c>
      <c r="E227">
        <v>1.8500000000000003E-2</v>
      </c>
      <c r="F227">
        <v>7.000000000000001E-4</v>
      </c>
      <c r="G227">
        <v>9.5999999999999992E-3</v>
      </c>
      <c r="I227">
        <v>2.76E-2</v>
      </c>
      <c r="K227">
        <f t="shared" si="11"/>
        <v>2.3938319088319077E-2</v>
      </c>
      <c r="L227">
        <f t="shared" si="9"/>
        <v>4.9688608533999694E-2</v>
      </c>
    </row>
    <row r="228" spans="1:12">
      <c r="A228">
        <v>198112</v>
      </c>
      <c r="B228">
        <f>'10-T-weights5'!B224</f>
        <v>-2.7799999999999998E-2</v>
      </c>
      <c r="C228">
        <f t="shared" si="10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1"/>
        <v>-2.9961680911680923E-2</v>
      </c>
      <c r="L228">
        <f t="shared" si="9"/>
        <v>4.3826939599294179E-2</v>
      </c>
    </row>
    <row r="229" spans="1:12">
      <c r="A229">
        <v>198201</v>
      </c>
      <c r="B229">
        <f>'10-T-weights5'!B225</f>
        <v>-2.4400000000000005E-2</v>
      </c>
      <c r="C229">
        <f t="shared" si="10"/>
        <v>-2.8061680911680927E-2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1"/>
        <v>-3.9261680911680918E-2</v>
      </c>
      <c r="L229">
        <f t="shared" si="9"/>
        <v>-2.558914083898841E-2</v>
      </c>
    </row>
    <row r="230" spans="1:12">
      <c r="A230">
        <v>198202</v>
      </c>
      <c r="B230">
        <f>'10-T-weights5'!B226</f>
        <v>-4.9400000000000006E-2</v>
      </c>
      <c r="C230">
        <f t="shared" si="10"/>
        <v>-5.3061680911680925E-2</v>
      </c>
      <c r="D230">
        <v>3.4999999999999996E-3</v>
      </c>
      <c r="E230">
        <v>6.0499999999999998E-2</v>
      </c>
      <c r="F230">
        <v>-3.4300000000000004E-2</v>
      </c>
      <c r="G230">
        <v>4.5599999999999995E-2</v>
      </c>
      <c r="I230">
        <v>-4.9000000000000002E-2</v>
      </c>
      <c r="K230">
        <f t="shared" si="11"/>
        <v>-5.2661680911680921E-2</v>
      </c>
      <c r="L230">
        <f t="shared" si="9"/>
        <v>-1.8392190891715982E-2</v>
      </c>
    </row>
    <row r="231" spans="1:12">
      <c r="A231">
        <v>198203</v>
      </c>
      <c r="B231">
        <f>'10-T-weights5'!B227</f>
        <v>-8.9000000000000017E-3</v>
      </c>
      <c r="C231">
        <f t="shared" si="10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2.4900000000000002E-2</v>
      </c>
      <c r="I231">
        <v>-5.2000000000000006E-3</v>
      </c>
      <c r="K231">
        <f t="shared" si="11"/>
        <v>-8.861680911680922E-3</v>
      </c>
      <c r="L231">
        <f t="shared" si="9"/>
        <v>1.1708530666714484E-2</v>
      </c>
    </row>
    <row r="232" spans="1:12">
      <c r="A232">
        <v>198204</v>
      </c>
      <c r="B232">
        <f>'10-T-weights5'!B228</f>
        <v>4.3999999999999997E-2</v>
      </c>
      <c r="C232">
        <f t="shared" si="10"/>
        <v>4.0338319088319079E-2</v>
      </c>
      <c r="D232">
        <v>1.0900000000000002E-2</v>
      </c>
      <c r="E232">
        <v>-2.7000000000000003E-2</v>
      </c>
      <c r="F232">
        <v>1.5600000000000001E-2</v>
      </c>
      <c r="G232">
        <v>-2.0000000000000001E-4</v>
      </c>
      <c r="I232">
        <v>5.21E-2</v>
      </c>
      <c r="K232">
        <f t="shared" si="11"/>
        <v>4.8438319088319082E-2</v>
      </c>
      <c r="L232">
        <f t="shared" si="9"/>
        <v>8.7350168759942184E-2</v>
      </c>
    </row>
    <row r="233" spans="1:12">
      <c r="A233">
        <v>198205</v>
      </c>
      <c r="B233">
        <f>'10-T-weights5'!B229</f>
        <v>-2.9300000000000007E-2</v>
      </c>
      <c r="C233">
        <f t="shared" si="10"/>
        <v>-3.2961680911680925E-2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1"/>
        <v>-2.3461680911680924E-2</v>
      </c>
      <c r="L233">
        <f t="shared" si="9"/>
        <v>-2.7514461025765706E-2</v>
      </c>
    </row>
    <row r="234" spans="1:12">
      <c r="A234">
        <v>198206</v>
      </c>
      <c r="B234">
        <f>'10-T-weights5'!B230</f>
        <v>-2.1299999999999999E-2</v>
      </c>
      <c r="C234">
        <f t="shared" si="10"/>
        <v>-2.4961680911680922E-2</v>
      </c>
      <c r="D234">
        <v>-5.2000000000000006E-3</v>
      </c>
      <c r="E234">
        <v>1.5500000000000002E-2</v>
      </c>
      <c r="F234">
        <v>1E-4</v>
      </c>
      <c r="G234">
        <v>2.7000000000000003E-2</v>
      </c>
      <c r="I234">
        <v>8.3999999999999995E-3</v>
      </c>
      <c r="K234">
        <f t="shared" si="11"/>
        <v>4.7383190883190773E-3</v>
      </c>
      <c r="L234">
        <f t="shared" si="9"/>
        <v>3.7080730934705784E-2</v>
      </c>
    </row>
    <row r="235" spans="1:12">
      <c r="A235">
        <v>198207</v>
      </c>
      <c r="B235">
        <f>'10-T-weights5'!B231</f>
        <v>-2.1399999999999995E-2</v>
      </c>
      <c r="C235">
        <f t="shared" si="10"/>
        <v>-2.5061680911680918E-2</v>
      </c>
      <c r="D235">
        <v>9.4999999999999998E-3</v>
      </c>
      <c r="E235">
        <v>8.9999999999999998E-4</v>
      </c>
      <c r="F235">
        <v>1.0400000000000001E-2</v>
      </c>
      <c r="G235">
        <v>1.54E-2</v>
      </c>
      <c r="I235">
        <v>-8.199999999999999E-3</v>
      </c>
      <c r="K235">
        <f t="shared" si="11"/>
        <v>-1.1861680911680921E-2</v>
      </c>
      <c r="L235">
        <f t="shared" si="9"/>
        <v>4.1360230899632311E-2</v>
      </c>
    </row>
    <row r="236" spans="1:12">
      <c r="A236">
        <v>198208</v>
      </c>
      <c r="B236">
        <f>'10-T-weights5'!B232</f>
        <v>0.11900000000000001</v>
      </c>
      <c r="C236">
        <f t="shared" si="10"/>
        <v>0.11533831908831908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1"/>
        <v>9.3238319088319074E-2</v>
      </c>
      <c r="L236">
        <f t="shared" si="9"/>
        <v>4.9745041086779761E-2</v>
      </c>
    </row>
    <row r="237" spans="1:12">
      <c r="A237">
        <v>198209</v>
      </c>
      <c r="B237">
        <f>'10-T-weights5'!B233</f>
        <v>1.8000000000000002E-2</v>
      </c>
      <c r="C237">
        <f t="shared" si="10"/>
        <v>1.433831908831908E-2</v>
      </c>
      <c r="D237">
        <v>2.6200000000000001E-2</v>
      </c>
      <c r="E237">
        <v>2.7000000000000001E-3</v>
      </c>
      <c r="F237">
        <v>2.1400000000000002E-2</v>
      </c>
      <c r="G237">
        <v>-4.0000000000000002E-4</v>
      </c>
      <c r="I237">
        <v>4.8000000000000001E-2</v>
      </c>
      <c r="K237">
        <f t="shared" si="11"/>
        <v>4.4338319088319082E-2</v>
      </c>
      <c r="L237">
        <f t="shared" si="9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10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-3.4000000000000002E-3</v>
      </c>
      <c r="I238">
        <v>0.14119999999999999</v>
      </c>
      <c r="K238">
        <f t="shared" si="11"/>
        <v>0.13753831908831907</v>
      </c>
      <c r="L238">
        <f t="shared" si="9"/>
        <v>0.13968029068869095</v>
      </c>
    </row>
    <row r="239" spans="1:12">
      <c r="A239">
        <v>198211</v>
      </c>
      <c r="B239">
        <f>'10-T-weights5'!B235</f>
        <v>5.2999999999999999E-2</v>
      </c>
      <c r="C239">
        <f t="shared" si="10"/>
        <v>4.933831908831908E-2</v>
      </c>
      <c r="D239">
        <v>4.4200000000000003E-2</v>
      </c>
      <c r="E239">
        <v>-1.8500000000000003E-2</v>
      </c>
      <c r="F239">
        <v>-9.7000000000000003E-3</v>
      </c>
      <c r="G239">
        <v>2.8999999999999998E-3</v>
      </c>
      <c r="I239">
        <v>0.10099999999999999</v>
      </c>
      <c r="K239">
        <f t="shared" si="11"/>
        <v>9.7338319088319067E-2</v>
      </c>
      <c r="L239">
        <f t="shared" si="9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10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1"/>
        <v>-2.6616809116809218E-3</v>
      </c>
      <c r="L240">
        <f t="shared" si="9"/>
        <v>3.5706408782360539E-2</v>
      </c>
    </row>
    <row r="241" spans="1:12">
      <c r="A241">
        <v>198301</v>
      </c>
      <c r="B241">
        <f>'10-T-weights5'!B237</f>
        <v>4.2900000000000008E-2</v>
      </c>
      <c r="C241">
        <f t="shared" si="10"/>
        <v>3.9238319088319089E-2</v>
      </c>
      <c r="D241">
        <v>3.3300000000000003E-2</v>
      </c>
      <c r="E241">
        <v>-7.0999999999999995E-3</v>
      </c>
      <c r="F241">
        <v>-1.5500000000000002E-2</v>
      </c>
      <c r="G241">
        <v>-5.5000000000000005E-3</v>
      </c>
      <c r="I241">
        <v>2.5099999999999997E-2</v>
      </c>
      <c r="K241">
        <f t="shared" si="11"/>
        <v>2.1438319088319075E-2</v>
      </c>
      <c r="L241">
        <f t="shared" si="9"/>
        <v>2.108481553130712E-2</v>
      </c>
    </row>
    <row r="242" spans="1:12">
      <c r="A242">
        <v>198302</v>
      </c>
      <c r="B242">
        <f>'10-T-weights5'!B238</f>
        <v>3.2099999999999997E-2</v>
      </c>
      <c r="C242">
        <f t="shared" si="10"/>
        <v>2.8438319088319074E-2</v>
      </c>
      <c r="D242">
        <v>2.9300000000000003E-2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1"/>
        <v>6.5638319088319075E-2</v>
      </c>
      <c r="L242">
        <f t="shared" si="9"/>
        <v>6.3604720466517717E-2</v>
      </c>
    </row>
    <row r="243" spans="1:12">
      <c r="A243">
        <v>198303</v>
      </c>
      <c r="B243">
        <f>'10-T-weights5'!B239</f>
        <v>3.4500000000000003E-2</v>
      </c>
      <c r="C243">
        <f t="shared" si="10"/>
        <v>3.0838319088319081E-2</v>
      </c>
      <c r="D243">
        <v>1.38E-2</v>
      </c>
      <c r="E243">
        <v>2.01E-2</v>
      </c>
      <c r="F243">
        <v>-1.7000000000000001E-3</v>
      </c>
      <c r="G243">
        <v>2.7400000000000004E-2</v>
      </c>
      <c r="I243">
        <v>4.8600000000000004E-2</v>
      </c>
      <c r="K243">
        <f t="shared" si="11"/>
        <v>4.4938319088319086E-2</v>
      </c>
      <c r="L243">
        <f t="shared" si="9"/>
        <v>0.10159165393828601</v>
      </c>
    </row>
    <row r="244" spans="1:12">
      <c r="A244">
        <v>198304</v>
      </c>
      <c r="B244">
        <f>'10-T-weights5'!B240</f>
        <v>7.3799999999999991E-2</v>
      </c>
      <c r="C244">
        <f t="shared" si="10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0.10640000000000001</v>
      </c>
      <c r="K244">
        <f t="shared" si="11"/>
        <v>0.10273831908831908</v>
      </c>
      <c r="L244">
        <f t="shared" si="9"/>
        <v>0.10821684717129036</v>
      </c>
    </row>
    <row r="245" spans="1:12">
      <c r="A245">
        <v>198305</v>
      </c>
      <c r="B245">
        <f>'10-T-weights5'!B241</f>
        <v>1.21E-2</v>
      </c>
      <c r="C245">
        <f t="shared" si="10"/>
        <v>8.4383190883190774E-3</v>
      </c>
      <c r="D245">
        <v>6.3299999999999995E-2</v>
      </c>
      <c r="E245">
        <v>-1.4199999999999999E-2</v>
      </c>
      <c r="F245">
        <v>-1.84E-2</v>
      </c>
      <c r="G245">
        <v>-1.54E-2</v>
      </c>
      <c r="I245">
        <v>4.7800000000000002E-2</v>
      </c>
      <c r="K245">
        <f t="shared" si="11"/>
        <v>4.4138319088319083E-2</v>
      </c>
      <c r="L245">
        <f t="shared" si="9"/>
        <v>-1.8199179531920073E-2</v>
      </c>
    </row>
    <row r="246" spans="1:12">
      <c r="A246">
        <v>198306</v>
      </c>
      <c r="B246">
        <f>'10-T-weights5'!B242</f>
        <v>3.7399999999999996E-2</v>
      </c>
      <c r="C246">
        <f t="shared" si="10"/>
        <v>3.3738319088319077E-2</v>
      </c>
      <c r="D246">
        <v>1.1899999999999999E-2</v>
      </c>
      <c r="E246">
        <v>-3.9100000000000003E-2</v>
      </c>
      <c r="F246">
        <v>2.6000000000000002E-2</v>
      </c>
      <c r="G246">
        <v>-8.6999999999999994E-3</v>
      </c>
      <c r="I246">
        <v>5.79E-2</v>
      </c>
      <c r="K246">
        <f t="shared" si="11"/>
        <v>5.4238319088319081E-2</v>
      </c>
      <c r="L246">
        <f t="shared" si="9"/>
        <v>8.324138348718077E-2</v>
      </c>
    </row>
    <row r="247" spans="1:12">
      <c r="A247">
        <v>198307</v>
      </c>
      <c r="B247">
        <f>'10-T-weights5'!B243</f>
        <v>-3.330000000000001E-2</v>
      </c>
      <c r="C247">
        <f t="shared" si="10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1"/>
        <v>-8.2661680911680926E-2</v>
      </c>
      <c r="L247">
        <f t="shared" si="9"/>
        <v>1.9624377411323127E-2</v>
      </c>
    </row>
    <row r="248" spans="1:12">
      <c r="A248">
        <v>198308</v>
      </c>
      <c r="B248">
        <f>'10-T-weights5'!B244</f>
        <v>2.5999999999999999E-3</v>
      </c>
      <c r="C248">
        <f t="shared" si="10"/>
        <v>-1.0616809116809219E-3</v>
      </c>
      <c r="D248">
        <v>-4.3200000000000002E-2</v>
      </c>
      <c r="E248">
        <v>5.5400000000000005E-2</v>
      </c>
      <c r="F248">
        <v>5.3E-3</v>
      </c>
      <c r="G248">
        <v>1.9E-2</v>
      </c>
      <c r="I248">
        <v>-4.5100000000000001E-2</v>
      </c>
      <c r="K248">
        <f t="shared" si="11"/>
        <v>-4.876168091168092E-2</v>
      </c>
      <c r="L248">
        <f t="shared" si="9"/>
        <v>7.5314742900240289E-3</v>
      </c>
    </row>
    <row r="249" spans="1:12">
      <c r="A249">
        <v>198309</v>
      </c>
      <c r="B249">
        <f>'10-T-weights5'!B245</f>
        <v>1.67E-2</v>
      </c>
      <c r="C249">
        <f t="shared" si="10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1"/>
        <v>7.938319088319077E-3</v>
      </c>
      <c r="L249">
        <f t="shared" si="9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10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1"/>
        <v>-9.7761680911680929E-2</v>
      </c>
      <c r="L250">
        <f t="shared" si="9"/>
        <v>-1.2468794919422294E-2</v>
      </c>
    </row>
    <row r="251" spans="1:12">
      <c r="A251">
        <v>198311</v>
      </c>
      <c r="B251">
        <f>'10-T-weights5'!B247</f>
        <v>2.86E-2</v>
      </c>
      <c r="C251">
        <f t="shared" si="10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1"/>
        <v>5.0438319088319084E-2</v>
      </c>
      <c r="L251">
        <f t="shared" si="9"/>
        <v>4.4194044433011045E-2</v>
      </c>
    </row>
    <row r="252" spans="1:12">
      <c r="A252">
        <v>198312</v>
      </c>
      <c r="B252">
        <f>'10-T-weights5'!B248</f>
        <v>-1.0499999999999999E-2</v>
      </c>
      <c r="C252">
        <f t="shared" si="10"/>
        <v>-1.4161680911680921E-2</v>
      </c>
      <c r="D252">
        <v>-4.5000000000000005E-3</v>
      </c>
      <c r="E252">
        <v>1.7000000000000001E-2</v>
      </c>
      <c r="F252">
        <v>1.6E-2</v>
      </c>
      <c r="G252">
        <v>1.2700000000000001E-2</v>
      </c>
      <c r="I252">
        <v>-2.7000000000000003E-2</v>
      </c>
      <c r="K252">
        <f t="shared" si="11"/>
        <v>-3.0661680911680925E-2</v>
      </c>
      <c r="L252">
        <f t="shared" si="9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10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1"/>
        <v>-7.0761680911680933E-2</v>
      </c>
      <c r="L253">
        <f t="shared" si="9"/>
        <v>1.5993344757005874E-2</v>
      </c>
    </row>
    <row r="254" spans="1:12">
      <c r="A254">
        <v>198402</v>
      </c>
      <c r="B254">
        <f>'10-T-weights5'!B250</f>
        <v>-4.1100000000000005E-2</v>
      </c>
      <c r="C254">
        <f t="shared" si="10"/>
        <v>-4.4761680911680923E-2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1"/>
        <v>-6.2961680911680917E-2</v>
      </c>
      <c r="L254">
        <f t="shared" si="9"/>
        <v>-1.0182915558712827E-2</v>
      </c>
    </row>
    <row r="255" spans="1:12">
      <c r="A255">
        <v>198403</v>
      </c>
      <c r="B255">
        <f>'10-T-weights5'!B251</f>
        <v>1.3600000000000001E-2</v>
      </c>
      <c r="C255">
        <f t="shared" si="10"/>
        <v>9.9383190883190788E-3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1"/>
        <v>1.9538319088319076E-2</v>
      </c>
      <c r="L255">
        <f t="shared" si="9"/>
        <v>2.1210124439867035E-2</v>
      </c>
    </row>
    <row r="256" spans="1:12">
      <c r="A256">
        <v>198404</v>
      </c>
      <c r="B256">
        <f>'10-T-weights5'!B252</f>
        <v>3.0000000000000009E-3</v>
      </c>
      <c r="C256">
        <f t="shared" si="10"/>
        <v>-6.6168091168092085E-4</v>
      </c>
      <c r="D256">
        <v>-9.5999999999999992E-3</v>
      </c>
      <c r="E256">
        <v>1.1899999999999999E-2</v>
      </c>
      <c r="F256">
        <v>3.3799999999999997E-2</v>
      </c>
      <c r="G256">
        <v>7.6E-3</v>
      </c>
      <c r="I256">
        <v>1.6500000000000001E-2</v>
      </c>
      <c r="K256">
        <f t="shared" si="11"/>
        <v>1.2838319088319079E-2</v>
      </c>
      <c r="L256">
        <f t="shared" si="9"/>
        <v>7.1446955909712118E-2</v>
      </c>
    </row>
    <row r="257" spans="1:12">
      <c r="A257">
        <v>198405</v>
      </c>
      <c r="B257">
        <f>'10-T-weights5'!B253</f>
        <v>-5.1899999999999995E-2</v>
      </c>
      <c r="C257">
        <f t="shared" si="10"/>
        <v>-5.5561680911680913E-2</v>
      </c>
      <c r="D257">
        <v>1.4000000000000002E-3</v>
      </c>
      <c r="E257">
        <v>2.8999999999999998E-3</v>
      </c>
      <c r="F257">
        <v>2.2000000000000002E-2</v>
      </c>
      <c r="G257">
        <v>-4.5999999999999999E-3</v>
      </c>
      <c r="I257">
        <v>-5.4699999999999999E-2</v>
      </c>
      <c r="K257">
        <f t="shared" si="11"/>
        <v>-5.8361680911680917E-2</v>
      </c>
      <c r="L257">
        <f t="shared" si="9"/>
        <v>-2.6815787499074345E-2</v>
      </c>
    </row>
    <row r="258" spans="1:12">
      <c r="A258">
        <v>198406</v>
      </c>
      <c r="B258">
        <f>'10-T-weights5'!B254</f>
        <v>2.5700000000000001E-2</v>
      </c>
      <c r="C258">
        <f t="shared" si="10"/>
        <v>2.2038319088319078E-2</v>
      </c>
      <c r="D258">
        <v>1E-3</v>
      </c>
      <c r="E258">
        <v>-2.6600000000000002E-2</v>
      </c>
      <c r="F258">
        <v>3.1300000000000001E-2</v>
      </c>
      <c r="G258">
        <v>-1.5600000000000001E-2</v>
      </c>
      <c r="I258">
        <v>1.4999999999999999E-2</v>
      </c>
      <c r="K258">
        <f t="shared" si="11"/>
        <v>1.1338319088319077E-2</v>
      </c>
      <c r="L258">
        <f t="shared" si="9"/>
        <v>5.0687253021617557E-2</v>
      </c>
    </row>
    <row r="259" spans="1:12">
      <c r="A259">
        <v>198407</v>
      </c>
      <c r="B259">
        <f>'10-T-weights5'!B255</f>
        <v>-1.9200000000000005E-2</v>
      </c>
      <c r="C259">
        <f t="shared" si="10"/>
        <v>-2.2861680911680927E-2</v>
      </c>
      <c r="D259">
        <v>-2.2200000000000001E-2</v>
      </c>
      <c r="E259">
        <v>3.3000000000000004E-3</v>
      </c>
      <c r="F259">
        <v>3.5499999999999997E-2</v>
      </c>
      <c r="G259">
        <v>-2.1499999999999998E-2</v>
      </c>
      <c r="I259">
        <v>-2.0199999999999999E-2</v>
      </c>
      <c r="K259">
        <f t="shared" si="11"/>
        <v>-2.3861680911680921E-2</v>
      </c>
      <c r="L259">
        <f t="shared" si="9"/>
        <v>-2.9868557223103456E-2</v>
      </c>
    </row>
    <row r="260" spans="1:12">
      <c r="A260">
        <v>198408</v>
      </c>
      <c r="B260">
        <f>'10-T-weights5'!B256</f>
        <v>0.1111</v>
      </c>
      <c r="C260">
        <f t="shared" si="10"/>
        <v>0.10743831908831908</v>
      </c>
      <c r="D260">
        <v>-2.6000000000000003E-3</v>
      </c>
      <c r="E260">
        <v>-1.8000000000000002E-2</v>
      </c>
      <c r="F260">
        <v>-6.8000000000000005E-3</v>
      </c>
      <c r="G260">
        <v>-9.1999999999999998E-3</v>
      </c>
      <c r="I260">
        <v>8.6999999999999994E-2</v>
      </c>
      <c r="K260">
        <f t="shared" si="11"/>
        <v>8.3338319088319068E-2</v>
      </c>
      <c r="L260">
        <f t="shared" si="9"/>
        <v>7.5825675527782424E-2</v>
      </c>
    </row>
    <row r="261" spans="1:12">
      <c r="A261">
        <v>198409</v>
      </c>
      <c r="B261">
        <f>'10-T-weights5'!B257</f>
        <v>5.9999999999999984E-4</v>
      </c>
      <c r="C261">
        <f t="shared" si="10"/>
        <v>-3.0616809116809219E-3</v>
      </c>
      <c r="D261">
        <v>-2.9999999999999997E-4</v>
      </c>
      <c r="E261">
        <v>5.2300000000000006E-2</v>
      </c>
      <c r="F261">
        <v>1.3700000000000002E-2</v>
      </c>
      <c r="G261">
        <v>2.4100000000000003E-2</v>
      </c>
      <c r="I261">
        <v>1.3100000000000001E-2</v>
      </c>
      <c r="K261">
        <f t="shared" si="11"/>
        <v>9.4383190883190783E-3</v>
      </c>
      <c r="L261">
        <f t="shared" si="9"/>
        <v>6.5140840230019176E-2</v>
      </c>
    </row>
    <row r="262" spans="1:12">
      <c r="A262">
        <v>198410</v>
      </c>
      <c r="B262">
        <f>'10-T-weights5'!B258</f>
        <v>1.6000000000000007E-3</v>
      </c>
      <c r="C262">
        <f t="shared" si="10"/>
        <v>-2.0616809116809211E-3</v>
      </c>
      <c r="D262">
        <v>-1.44E-2</v>
      </c>
      <c r="E262">
        <v>4.7000000000000002E-3</v>
      </c>
      <c r="F262">
        <v>1.18E-2</v>
      </c>
      <c r="G262">
        <v>-1.0900000000000002E-2</v>
      </c>
      <c r="I262">
        <v>6.3E-3</v>
      </c>
      <c r="K262">
        <f t="shared" si="11"/>
        <v>2.6383190883190783E-3</v>
      </c>
      <c r="L262">
        <f t="shared" si="9"/>
        <v>-2.0575878146455485E-2</v>
      </c>
    </row>
    <row r="263" spans="1:12">
      <c r="A263">
        <v>198411</v>
      </c>
      <c r="B263">
        <f>'10-T-weights5'!B259</f>
        <v>-1.03E-2</v>
      </c>
      <c r="C263">
        <f t="shared" si="10"/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-1.2700000000000001E-2</v>
      </c>
      <c r="K263">
        <f t="shared" si="11"/>
        <v>-1.6361680911680922E-2</v>
      </c>
      <c r="L263">
        <f t="shared" ref="L263:L326" si="12">SUMPRODUCT($L$3:$P$3,C263:G263)</f>
        <v>3.0963388979910487E-2</v>
      </c>
    </row>
    <row r="264" spans="1:12">
      <c r="A264">
        <v>198412</v>
      </c>
      <c r="B264">
        <f>'10-T-weights5'!B260</f>
        <v>2.4799999999999999E-2</v>
      </c>
      <c r="C264">
        <f t="shared" ref="C264:C327" si="13">B264-$H$3</f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-1.3600000000000001E-2</v>
      </c>
      <c r="I264">
        <v>2.6600000000000002E-2</v>
      </c>
      <c r="K264">
        <f t="shared" ref="K264:K327" si="14">I264-$H$3</f>
        <v>2.293831908831908E-2</v>
      </c>
      <c r="L264">
        <f t="shared" si="12"/>
        <v>6.1677786764498393E-3</v>
      </c>
    </row>
    <row r="265" spans="1:12">
      <c r="A265">
        <v>198501</v>
      </c>
      <c r="B265">
        <f>'10-T-weights5'!B261</f>
        <v>8.6400000000000005E-2</v>
      </c>
      <c r="C265">
        <f t="shared" si="13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-3.4100000000000005E-2</v>
      </c>
      <c r="I265">
        <v>6.5299999999999997E-2</v>
      </c>
      <c r="K265">
        <f t="shared" si="14"/>
        <v>6.1638319088319078E-2</v>
      </c>
      <c r="L265">
        <f t="shared" si="12"/>
        <v>2.091365597145213E-2</v>
      </c>
    </row>
    <row r="266" spans="1:12">
      <c r="A266">
        <v>198502</v>
      </c>
      <c r="B266">
        <f>'10-T-weights5'!B262</f>
        <v>1.8000000000000002E-2</v>
      </c>
      <c r="C266">
        <f t="shared" si="13"/>
        <v>1.433831908831908E-2</v>
      </c>
      <c r="D266">
        <v>1.0400000000000001E-2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4"/>
        <v>2.5938319088319079E-2</v>
      </c>
      <c r="L266">
        <f t="shared" si="12"/>
        <v>7.408005190156558E-2</v>
      </c>
    </row>
    <row r="267" spans="1:12">
      <c r="A267">
        <v>198503</v>
      </c>
      <c r="B267">
        <f>'10-T-weights5'!B263</f>
        <v>-2.1999999999999997E-3</v>
      </c>
      <c r="C267">
        <f t="shared" si="13"/>
        <v>-5.861680911680921E-3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4"/>
        <v>-9.0616809116809225E-3</v>
      </c>
      <c r="L267">
        <f t="shared" si="12"/>
        <v>6.7677310330520615E-2</v>
      </c>
    </row>
    <row r="268" spans="1:12">
      <c r="A268">
        <v>198504</v>
      </c>
      <c r="B268">
        <f>'10-T-weights5'!B264</f>
        <v>-2.3999999999999994E-3</v>
      </c>
      <c r="C268">
        <f t="shared" si="13"/>
        <v>-6.0616809116809216E-3</v>
      </c>
      <c r="D268">
        <v>-1E-3</v>
      </c>
      <c r="E268">
        <v>3.7200000000000004E-2</v>
      </c>
      <c r="F268">
        <v>1.5500000000000002E-2</v>
      </c>
      <c r="G268">
        <v>7.0999999999999995E-3</v>
      </c>
      <c r="I268">
        <v>-7.000000000000001E-4</v>
      </c>
      <c r="K268">
        <f t="shared" si="14"/>
        <v>-4.3616809116809215E-3</v>
      </c>
      <c r="L268">
        <f t="shared" si="12"/>
        <v>2.6035386934949192E-2</v>
      </c>
    </row>
    <row r="269" spans="1:12">
      <c r="A269">
        <v>198505</v>
      </c>
      <c r="B269">
        <f>'10-T-weights5'!B265</f>
        <v>5.7500000000000002E-2</v>
      </c>
      <c r="C269">
        <f t="shared" si="13"/>
        <v>5.3838319088319084E-2</v>
      </c>
      <c r="D269">
        <v>-2.3100000000000002E-2</v>
      </c>
      <c r="E269">
        <v>-9.4000000000000004E-3</v>
      </c>
      <c r="F269">
        <v>1.3300000000000001E-2</v>
      </c>
      <c r="G269">
        <v>-1.49E-2</v>
      </c>
      <c r="I269">
        <v>7.5899999999999995E-2</v>
      </c>
      <c r="K269">
        <f t="shared" si="14"/>
        <v>7.223831908831907E-2</v>
      </c>
      <c r="L269">
        <f t="shared" si="12"/>
        <v>2.7333034949152471E-2</v>
      </c>
    </row>
    <row r="270" spans="1:12">
      <c r="A270">
        <v>198506</v>
      </c>
      <c r="B270">
        <f>'10-T-weights5'!B266</f>
        <v>1.8200000000000001E-2</v>
      </c>
      <c r="C270">
        <f t="shared" si="13"/>
        <v>1.4538319088319079E-2</v>
      </c>
      <c r="D270">
        <v>3.4999999999999996E-3</v>
      </c>
      <c r="E270">
        <v>4.0999999999999995E-3</v>
      </c>
      <c r="F270">
        <v>1.7600000000000001E-2</v>
      </c>
      <c r="G270">
        <v>-7.7000000000000002E-3</v>
      </c>
      <c r="I270">
        <v>3.7999999999999999E-2</v>
      </c>
      <c r="K270">
        <f t="shared" si="14"/>
        <v>3.433831908831908E-2</v>
      </c>
      <c r="L270">
        <f t="shared" si="12"/>
        <v>2.7756675025985313E-2</v>
      </c>
    </row>
    <row r="271" spans="1:12">
      <c r="A271">
        <v>198507</v>
      </c>
      <c r="B271">
        <f>'10-T-weights5'!B267</f>
        <v>-1.2000000000000005E-3</v>
      </c>
      <c r="C271">
        <f t="shared" si="13"/>
        <v>-4.8616809116809219E-3</v>
      </c>
      <c r="D271">
        <v>2.8700000000000003E-2</v>
      </c>
      <c r="E271">
        <v>-1.6E-2</v>
      </c>
      <c r="F271">
        <v>-4.4000000000000003E-3</v>
      </c>
      <c r="G271">
        <v>-3.8E-3</v>
      </c>
      <c r="I271">
        <v>-1.5500000000000002E-2</v>
      </c>
      <c r="K271">
        <f t="shared" si="14"/>
        <v>-1.9161680911680922E-2</v>
      </c>
      <c r="L271">
        <f t="shared" si="12"/>
        <v>2.7654994038923599E-3</v>
      </c>
    </row>
    <row r="272" spans="1:12">
      <c r="A272">
        <v>198508</v>
      </c>
      <c r="B272">
        <f>'10-T-weights5'!B268</f>
        <v>-4.7000000000000002E-3</v>
      </c>
      <c r="C272">
        <f t="shared" si="13"/>
        <v>-8.3616809116809215E-3</v>
      </c>
      <c r="D272">
        <v>-2.8999999999999998E-3</v>
      </c>
      <c r="E272">
        <v>2.2799999999999997E-2</v>
      </c>
      <c r="F272">
        <v>-7.000000000000001E-4</v>
      </c>
      <c r="G272">
        <v>1.84E-2</v>
      </c>
      <c r="I272">
        <v>-9.0000000000000011E-3</v>
      </c>
      <c r="K272">
        <f t="shared" si="14"/>
        <v>-1.2661680911680923E-2</v>
      </c>
      <c r="L272">
        <f t="shared" si="12"/>
        <v>2.7955226088569277E-2</v>
      </c>
    </row>
    <row r="273" spans="1:12">
      <c r="A273">
        <v>198509</v>
      </c>
      <c r="B273">
        <f>'10-T-weights5'!B269</f>
        <v>-3.9400000000000004E-2</v>
      </c>
      <c r="C273">
        <f t="shared" si="13"/>
        <v>-4.3061680911680923E-2</v>
      </c>
      <c r="D273">
        <v>-1.8000000000000002E-2</v>
      </c>
      <c r="E273">
        <v>1.29E-2</v>
      </c>
      <c r="F273">
        <v>1.0900000000000002E-2</v>
      </c>
      <c r="G273">
        <v>1.6200000000000003E-2</v>
      </c>
      <c r="I273">
        <v>-5.0499999999999996E-2</v>
      </c>
      <c r="K273">
        <f t="shared" si="14"/>
        <v>-5.4161680911680915E-2</v>
      </c>
      <c r="L273">
        <f t="shared" si="12"/>
        <v>2.9053455175221884E-3</v>
      </c>
    </row>
    <row r="274" spans="1:12">
      <c r="A274">
        <v>198510</v>
      </c>
      <c r="B274">
        <f>'10-T-weights5'!B270</f>
        <v>4.6699999999999998E-2</v>
      </c>
      <c r="C274">
        <f t="shared" si="13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4"/>
        <v>7.113831908831908E-2</v>
      </c>
      <c r="L274">
        <f t="shared" si="12"/>
        <v>1.8260813422832829E-2</v>
      </c>
    </row>
    <row r="275" spans="1:12">
      <c r="A275">
        <v>198511</v>
      </c>
      <c r="B275">
        <f>'10-T-weights5'!B271</f>
        <v>7.0900000000000005E-2</v>
      </c>
      <c r="C275">
        <f t="shared" si="13"/>
        <v>6.7238319088319079E-2</v>
      </c>
      <c r="D275">
        <v>2.0000000000000001E-4</v>
      </c>
      <c r="E275">
        <v>-2.8399999999999998E-2</v>
      </c>
      <c r="F275">
        <v>3.2000000000000002E-3</v>
      </c>
      <c r="G275">
        <v>-2.29E-2</v>
      </c>
      <c r="I275">
        <v>7.9699999999999993E-2</v>
      </c>
      <c r="K275">
        <f t="shared" si="14"/>
        <v>7.6038319088319067E-2</v>
      </c>
      <c r="L275">
        <f t="shared" si="12"/>
        <v>2.409678243383994E-2</v>
      </c>
    </row>
    <row r="276" spans="1:12">
      <c r="A276">
        <v>198512</v>
      </c>
      <c r="B276">
        <f>'10-T-weights5'!B272</f>
        <v>4.53E-2</v>
      </c>
      <c r="C276">
        <f t="shared" si="13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4"/>
        <v>3.5738319088319079E-2</v>
      </c>
      <c r="L276">
        <f t="shared" si="12"/>
        <v>1.5768595045226229E-2</v>
      </c>
    </row>
    <row r="277" spans="1:12">
      <c r="A277">
        <v>198601</v>
      </c>
      <c r="B277">
        <f>'10-T-weights5'!B273</f>
        <v>1.2100000000000001E-2</v>
      </c>
      <c r="C277">
        <f t="shared" si="13"/>
        <v>8.4383190883190792E-3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4"/>
        <v>4.2638319088319082E-2</v>
      </c>
      <c r="L277">
        <f t="shared" si="12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3"/>
        <v>7.2938319088319076E-2</v>
      </c>
      <c r="D278">
        <v>-7.0999999999999995E-3</v>
      </c>
      <c r="E278">
        <v>-7.7000000000000002E-3</v>
      </c>
      <c r="F278">
        <v>1.0900000000000002E-2</v>
      </c>
      <c r="G278">
        <v>-1.24E-2</v>
      </c>
      <c r="I278">
        <v>8.4199999999999997E-2</v>
      </c>
      <c r="K278">
        <f t="shared" si="14"/>
        <v>8.0538319088319071E-2</v>
      </c>
      <c r="L278">
        <f t="shared" si="12"/>
        <v>5.8736595760691561E-2</v>
      </c>
    </row>
    <row r="279" spans="1:12">
      <c r="A279">
        <v>198603</v>
      </c>
      <c r="B279">
        <f>'10-T-weights5'!B275</f>
        <v>5.4800000000000001E-2</v>
      </c>
      <c r="C279">
        <f t="shared" si="13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5.7800000000000004E-2</v>
      </c>
      <c r="K279">
        <f t="shared" si="14"/>
        <v>5.4138319088319085E-2</v>
      </c>
      <c r="L279">
        <f t="shared" si="12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3"/>
        <v>-1.1561680911680923E-2</v>
      </c>
      <c r="D280">
        <v>2.86E-2</v>
      </c>
      <c r="E280">
        <v>-2.86E-2</v>
      </c>
      <c r="F280">
        <v>2.8900000000000002E-2</v>
      </c>
      <c r="G280">
        <v>-5.9999999999999995E-4</v>
      </c>
      <c r="I280">
        <v>1.4000000000000002E-3</v>
      </c>
      <c r="K280">
        <f t="shared" si="14"/>
        <v>-2.2616809116809216E-3</v>
      </c>
      <c r="L280">
        <f t="shared" si="12"/>
        <v>7.1936510481128549E-2</v>
      </c>
    </row>
    <row r="281" spans="1:12">
      <c r="A281">
        <v>198605</v>
      </c>
      <c r="B281">
        <f>'10-T-weights5'!B277</f>
        <v>5.1100000000000007E-2</v>
      </c>
      <c r="C281">
        <f t="shared" si="13"/>
        <v>4.7438319088319088E-2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4"/>
        <v>6.3138319088319073E-2</v>
      </c>
      <c r="L281">
        <f t="shared" si="12"/>
        <v>0.10845565650516516</v>
      </c>
    </row>
    <row r="282" spans="1:12">
      <c r="A282">
        <v>198606</v>
      </c>
      <c r="B282">
        <f>'10-T-weights5'!B278</f>
        <v>1.55E-2</v>
      </c>
      <c r="C282">
        <f t="shared" si="13"/>
        <v>1.1838319088319078E-2</v>
      </c>
      <c r="D282">
        <v>-8.8000000000000005E-3</v>
      </c>
      <c r="E282">
        <v>1.3000000000000001E-2</v>
      </c>
      <c r="F282">
        <v>1.83E-2</v>
      </c>
      <c r="G282">
        <v>8.199999999999999E-3</v>
      </c>
      <c r="I282">
        <v>3.1600000000000003E-2</v>
      </c>
      <c r="K282">
        <f t="shared" si="14"/>
        <v>2.7938319088319081E-2</v>
      </c>
      <c r="L282">
        <f t="shared" si="12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3"/>
        <v>-6.2961680911680917E-2</v>
      </c>
      <c r="D283">
        <v>-3.4500000000000003E-2</v>
      </c>
      <c r="E283">
        <v>4.7E-2</v>
      </c>
      <c r="F283">
        <v>-4.5000000000000005E-3</v>
      </c>
      <c r="G283">
        <v>8.3999999999999995E-3</v>
      </c>
      <c r="I283">
        <v>-7.690000000000001E-2</v>
      </c>
      <c r="K283">
        <f t="shared" si="14"/>
        <v>-8.0561680911680936E-2</v>
      </c>
      <c r="L283">
        <f t="shared" si="12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3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4"/>
        <v>3.3438319088319082E-2</v>
      </c>
      <c r="L284">
        <f t="shared" si="12"/>
        <v>7.2067391143476447E-2</v>
      </c>
    </row>
    <row r="285" spans="1:12">
      <c r="A285">
        <v>198609</v>
      </c>
      <c r="B285">
        <f>'10-T-weights5'!B281</f>
        <v>-8.1499999999999989E-2</v>
      </c>
      <c r="C285">
        <f t="shared" si="13"/>
        <v>-8.5161680911680915E-2</v>
      </c>
      <c r="D285">
        <v>2.0499999999999997E-2</v>
      </c>
      <c r="E285">
        <v>3.2199999999999999E-2</v>
      </c>
      <c r="F285">
        <v>-1E-3</v>
      </c>
      <c r="G285">
        <v>3.7200000000000004E-2</v>
      </c>
      <c r="I285">
        <v>-0.1149</v>
      </c>
      <c r="K285">
        <f t="shared" si="14"/>
        <v>-0.11856168091168093</v>
      </c>
      <c r="L285">
        <f t="shared" si="12"/>
        <v>1.2550962465928475E-2</v>
      </c>
    </row>
    <row r="286" spans="1:12">
      <c r="A286">
        <v>198610</v>
      </c>
      <c r="B286">
        <f>'10-T-weights5'!B282</f>
        <v>5.1200000000000002E-2</v>
      </c>
      <c r="C286">
        <f t="shared" si="13"/>
        <v>4.7538319088319084E-2</v>
      </c>
      <c r="D286">
        <v>-2.3300000000000001E-2</v>
      </c>
      <c r="E286">
        <v>-1.4199999999999999E-2</v>
      </c>
      <c r="F286">
        <v>-5.0000000000000001E-4</v>
      </c>
      <c r="G286">
        <v>0.01</v>
      </c>
      <c r="I286">
        <v>7.2800000000000004E-2</v>
      </c>
      <c r="K286">
        <f t="shared" si="14"/>
        <v>6.9138319088319078E-2</v>
      </c>
      <c r="L286">
        <f t="shared" si="12"/>
        <v>6.3104203061263325E-2</v>
      </c>
    </row>
    <row r="287" spans="1:12">
      <c r="A287">
        <v>198611</v>
      </c>
      <c r="B287">
        <f>'10-T-weights5'!B283</f>
        <v>1.5600000000000001E-2</v>
      </c>
      <c r="C287">
        <f t="shared" si="13"/>
        <v>1.1938319088319079E-2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4"/>
        <v>1.6383190883190782E-3</v>
      </c>
      <c r="L287">
        <f t="shared" si="12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3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-2.2000000000000002E-2</v>
      </c>
      <c r="K288">
        <f t="shared" si="14"/>
        <v>-2.5661680911680924E-2</v>
      </c>
      <c r="L288">
        <f t="shared" si="12"/>
        <v>-1.4556290995132521E-2</v>
      </c>
    </row>
    <row r="289" spans="1:12">
      <c r="A289">
        <v>198701</v>
      </c>
      <c r="B289">
        <f>'10-T-weights5'!B285</f>
        <v>0.12890000000000001</v>
      </c>
      <c r="C289">
        <f t="shared" si="13"/>
        <v>0.12523831908831909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4"/>
        <v>0.17893831908831909</v>
      </c>
      <c r="L289">
        <f t="shared" si="12"/>
        <v>0.10459264389492604</v>
      </c>
    </row>
    <row r="290" spans="1:12">
      <c r="A290">
        <v>198702</v>
      </c>
      <c r="B290">
        <f>'10-T-weights5'!B286</f>
        <v>4.8199999999999993E-2</v>
      </c>
      <c r="C290">
        <f t="shared" si="13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4"/>
        <v>4.933831908831908E-2</v>
      </c>
      <c r="L290">
        <f t="shared" si="12"/>
        <v>6.0273681968092546E-3</v>
      </c>
    </row>
    <row r="291" spans="1:12">
      <c r="A291">
        <v>198703</v>
      </c>
      <c r="B291">
        <f>'10-T-weights5'!B287</f>
        <v>2.1099999999999997E-2</v>
      </c>
      <c r="C291">
        <f t="shared" si="13"/>
        <v>1.7438319088319075E-2</v>
      </c>
      <c r="D291">
        <v>2.7000000000000001E-3</v>
      </c>
      <c r="E291">
        <v>1.61E-2</v>
      </c>
      <c r="F291">
        <v>1.3500000000000002E-2</v>
      </c>
      <c r="G291">
        <v>4.1200000000000001E-2</v>
      </c>
      <c r="I291">
        <v>4.1500000000000002E-2</v>
      </c>
      <c r="K291">
        <f t="shared" si="14"/>
        <v>3.7838319088319083E-2</v>
      </c>
      <c r="L291">
        <f t="shared" si="12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3"/>
        <v>-2.0361680911680922E-2</v>
      </c>
      <c r="D292">
        <v>-1.54E-2</v>
      </c>
      <c r="E292">
        <v>-3.9000000000000003E-3</v>
      </c>
      <c r="F292">
        <v>-5.0000000000000001E-3</v>
      </c>
      <c r="G292">
        <v>1.03E-2</v>
      </c>
      <c r="I292">
        <v>5.4000000000000003E-3</v>
      </c>
      <c r="K292">
        <f t="shared" si="14"/>
        <v>1.7383190883190785E-3</v>
      </c>
      <c r="L292">
        <f t="shared" si="12"/>
        <v>-1.124303486765266E-2</v>
      </c>
    </row>
    <row r="293" spans="1:12">
      <c r="A293">
        <v>198705</v>
      </c>
      <c r="B293">
        <f>'10-T-weights5'!B289</f>
        <v>4.8999999999999998E-3</v>
      </c>
      <c r="C293">
        <f t="shared" si="13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4"/>
        <v>4.038319088319078E-3</v>
      </c>
      <c r="L293">
        <f t="shared" si="12"/>
        <v>3.6579896267117544E-2</v>
      </c>
    </row>
    <row r="294" spans="1:12">
      <c r="A294">
        <v>198706</v>
      </c>
      <c r="B294">
        <f>'10-T-weights5'!B290</f>
        <v>4.4199999999999996E-2</v>
      </c>
      <c r="C294">
        <f t="shared" si="13"/>
        <v>4.0538319088319077E-2</v>
      </c>
      <c r="D294">
        <v>-2.2100000000000002E-2</v>
      </c>
      <c r="E294">
        <v>1.0400000000000001E-2</v>
      </c>
      <c r="F294">
        <v>1.6899999999999998E-2</v>
      </c>
      <c r="G294">
        <v>8.3999999999999995E-3</v>
      </c>
      <c r="I294">
        <v>3.8100000000000002E-2</v>
      </c>
      <c r="K294">
        <f t="shared" si="14"/>
        <v>3.4438319088319083E-2</v>
      </c>
      <c r="L294">
        <f t="shared" si="12"/>
        <v>7.5266691730241239E-2</v>
      </c>
    </row>
    <row r="295" spans="1:12">
      <c r="A295">
        <v>198707</v>
      </c>
      <c r="B295">
        <f>'10-T-weights5'!B291</f>
        <v>4.3099999999999999E-2</v>
      </c>
      <c r="C295">
        <f t="shared" si="13"/>
        <v>3.9438319088319081E-2</v>
      </c>
      <c r="D295">
        <v>-1.1200000000000002E-2</v>
      </c>
      <c r="E295">
        <v>7.3000000000000001E-3</v>
      </c>
      <c r="F295">
        <v>-6.1000000000000004E-3</v>
      </c>
      <c r="G295">
        <v>1.6399999999999998E-2</v>
      </c>
      <c r="I295">
        <v>5.6100000000000004E-2</v>
      </c>
      <c r="K295">
        <f t="shared" si="14"/>
        <v>5.2438319088319085E-2</v>
      </c>
      <c r="L295">
        <f t="shared" si="12"/>
        <v>6.0995457296971645E-2</v>
      </c>
    </row>
    <row r="296" spans="1:12">
      <c r="A296">
        <v>198708</v>
      </c>
      <c r="B296">
        <f>'10-T-weights5'!B292</f>
        <v>3.9900000000000005E-2</v>
      </c>
      <c r="C296">
        <f t="shared" si="13"/>
        <v>3.6238319088319086E-2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4.0999999999999995E-2</v>
      </c>
      <c r="K296">
        <f t="shared" si="14"/>
        <v>3.7338319088319076E-2</v>
      </c>
      <c r="L296">
        <f t="shared" si="12"/>
        <v>2.91013937338125E-2</v>
      </c>
    </row>
    <row r="297" spans="1:12">
      <c r="A297">
        <v>198709</v>
      </c>
      <c r="B297">
        <f>'10-T-weights5'!B293</f>
        <v>-2.1399999999999999E-2</v>
      </c>
      <c r="C297">
        <f t="shared" si="13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3.4000000000000002E-3</v>
      </c>
      <c r="K297">
        <f t="shared" si="14"/>
        <v>-2.6168091168092154E-4</v>
      </c>
      <c r="L297">
        <f t="shared" si="12"/>
        <v>8.7087974922303302E-3</v>
      </c>
    </row>
    <row r="298" spans="1:12">
      <c r="A298">
        <v>198710</v>
      </c>
      <c r="B298">
        <f>'10-T-weights5'!B294</f>
        <v>-0.22639999999999999</v>
      </c>
      <c r="C298">
        <f t="shared" si="13"/>
        <v>-0.23006168091168092</v>
      </c>
      <c r="D298">
        <v>-8.0500000000000002E-2</v>
      </c>
      <c r="E298">
        <v>4.2300000000000004E-2</v>
      </c>
      <c r="F298">
        <v>2.06E-2</v>
      </c>
      <c r="G298">
        <v>2.2599999999999999E-2</v>
      </c>
      <c r="I298">
        <v>-0.26780000000000004</v>
      </c>
      <c r="K298">
        <f t="shared" si="14"/>
        <v>-0.27146168091168094</v>
      </c>
      <c r="L298">
        <f t="shared" si="12"/>
        <v>-0.2032534711013855</v>
      </c>
    </row>
    <row r="299" spans="1:12">
      <c r="A299">
        <v>198711</v>
      </c>
      <c r="B299">
        <f>'10-T-weights5'!B295</f>
        <v>-7.4199999999999988E-2</v>
      </c>
      <c r="C299">
        <f t="shared" si="13"/>
        <v>-7.7861680911680914E-2</v>
      </c>
      <c r="D299">
        <v>2.8700000000000003E-2</v>
      </c>
      <c r="E299">
        <v>2.9600000000000001E-2</v>
      </c>
      <c r="F299">
        <v>-1.8800000000000001E-2</v>
      </c>
      <c r="G299">
        <v>6.8000000000000005E-3</v>
      </c>
      <c r="I299">
        <v>-6.25E-2</v>
      </c>
      <c r="K299">
        <f t="shared" si="14"/>
        <v>-6.6161680911680926E-2</v>
      </c>
      <c r="L299">
        <f t="shared" si="12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3"/>
        <v>6.8338319088319069E-2</v>
      </c>
      <c r="D300">
        <v>5.9999999999999995E-4</v>
      </c>
      <c r="E300">
        <v>-4.3899999999999995E-2</v>
      </c>
      <c r="F300">
        <v>2.9500000000000002E-2</v>
      </c>
      <c r="G300">
        <v>-2.46E-2</v>
      </c>
      <c r="I300">
        <v>8.0700000000000008E-2</v>
      </c>
      <c r="K300">
        <f t="shared" si="14"/>
        <v>7.7038319088319082E-2</v>
      </c>
      <c r="L300">
        <f t="shared" si="12"/>
        <v>7.6473109387386398E-2</v>
      </c>
    </row>
    <row r="301" spans="1:12">
      <c r="A301">
        <v>198801</v>
      </c>
      <c r="B301">
        <f>'10-T-weights5'!B297</f>
        <v>4.4999999999999998E-2</v>
      </c>
      <c r="C301">
        <f t="shared" si="13"/>
        <v>4.133831908831908E-2</v>
      </c>
      <c r="D301">
        <v>-5.3E-3</v>
      </c>
      <c r="E301">
        <v>4.9500000000000002E-2</v>
      </c>
      <c r="F301">
        <v>-1.1299999999999999E-2</v>
      </c>
      <c r="G301">
        <v>2.2000000000000002E-2</v>
      </c>
      <c r="I301">
        <v>-2.0899999999999998E-2</v>
      </c>
      <c r="K301">
        <f t="shared" si="14"/>
        <v>-2.4561680911680921E-2</v>
      </c>
      <c r="L301">
        <f t="shared" si="12"/>
        <v>5.4913362761937909E-2</v>
      </c>
    </row>
    <row r="302" spans="1:12">
      <c r="A302">
        <v>198802</v>
      </c>
      <c r="B302">
        <f>'10-T-weights5'!B298</f>
        <v>5.21E-2</v>
      </c>
      <c r="C302">
        <f t="shared" si="13"/>
        <v>4.8438319088319082E-2</v>
      </c>
      <c r="D302">
        <v>3.3100000000000004E-2</v>
      </c>
      <c r="E302">
        <v>-1.6899999999999998E-2</v>
      </c>
      <c r="F302">
        <v>1.5500000000000002E-2</v>
      </c>
      <c r="G302">
        <v>0</v>
      </c>
      <c r="I302">
        <v>7.5200000000000003E-2</v>
      </c>
      <c r="K302">
        <f t="shared" si="14"/>
        <v>7.1538319088319077E-2</v>
      </c>
      <c r="L302">
        <f t="shared" si="12"/>
        <v>0.10675207067917369</v>
      </c>
    </row>
    <row r="303" spans="1:12">
      <c r="A303">
        <v>198803</v>
      </c>
      <c r="B303">
        <f>'10-T-weights5'!B299</f>
        <v>-1.83E-2</v>
      </c>
      <c r="C303">
        <f t="shared" si="13"/>
        <v>-2.1961680911680923E-2</v>
      </c>
      <c r="D303">
        <v>6.2400000000000004E-2</v>
      </c>
      <c r="E303">
        <v>7.4000000000000003E-3</v>
      </c>
      <c r="F303">
        <v>-2.6000000000000003E-3</v>
      </c>
      <c r="G303">
        <v>1.8200000000000001E-2</v>
      </c>
      <c r="I303">
        <v>1.7000000000000001E-3</v>
      </c>
      <c r="K303">
        <f t="shared" si="14"/>
        <v>-1.9616809116809217E-3</v>
      </c>
      <c r="L303">
        <f t="shared" si="12"/>
        <v>6.0793337921516061E-2</v>
      </c>
    </row>
    <row r="304" spans="1:12">
      <c r="A304">
        <v>198804</v>
      </c>
      <c r="B304">
        <f>'10-T-weights5'!B300</f>
        <v>1.0200000000000001E-2</v>
      </c>
      <c r="C304">
        <f t="shared" si="13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4"/>
        <v>1.4438319088319079E-2</v>
      </c>
      <c r="L304">
        <f t="shared" si="12"/>
        <v>5.5476742489196325E-2</v>
      </c>
    </row>
    <row r="305" spans="1:12">
      <c r="A305">
        <v>198805</v>
      </c>
      <c r="B305">
        <f>'10-T-weights5'!B301</f>
        <v>2.2000000000000006E-3</v>
      </c>
      <c r="C305">
        <f t="shared" si="13"/>
        <v>-1.4616809116809212E-3</v>
      </c>
      <c r="D305">
        <v>-2.5700000000000001E-2</v>
      </c>
      <c r="E305">
        <v>2.4199999999999999E-2</v>
      </c>
      <c r="F305">
        <v>-7.4000000000000003E-3</v>
      </c>
      <c r="G305">
        <v>3.3000000000000004E-3</v>
      </c>
      <c r="I305">
        <v>-9.5999999999999992E-3</v>
      </c>
      <c r="K305">
        <f t="shared" si="14"/>
        <v>-1.3261680911680921E-2</v>
      </c>
      <c r="L305">
        <f t="shared" si="12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3"/>
        <v>4.9138319088319081E-2</v>
      </c>
      <c r="D306">
        <v>2.1400000000000002E-2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4"/>
        <v>3.4238319088319084E-2</v>
      </c>
      <c r="L306">
        <f t="shared" si="12"/>
        <v>4.618373654556765E-3</v>
      </c>
    </row>
    <row r="307" spans="1:12">
      <c r="A307">
        <v>198807</v>
      </c>
      <c r="B307">
        <f>'10-T-weights5'!B303</f>
        <v>-7.4000000000000003E-3</v>
      </c>
      <c r="C307">
        <f t="shared" si="13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4"/>
        <v>-1.3561680911680923E-2</v>
      </c>
      <c r="L307">
        <f t="shared" si="12"/>
        <v>7.406768192610165E-3</v>
      </c>
    </row>
    <row r="308" spans="1:12">
      <c r="A308">
        <v>198808</v>
      </c>
      <c r="B308">
        <f>'10-T-weights5'!B304</f>
        <v>-2.7200000000000005E-2</v>
      </c>
      <c r="C308">
        <f t="shared" si="13"/>
        <v>-3.0861680911680928E-2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4"/>
        <v>-3.3661680911680918E-2</v>
      </c>
      <c r="L308">
        <f t="shared" si="12"/>
        <v>-8.0275069970580371E-3</v>
      </c>
    </row>
    <row r="309" spans="1:12">
      <c r="A309">
        <v>198809</v>
      </c>
      <c r="B309">
        <f>'10-T-weights5'!B305</f>
        <v>3.9199999999999999E-2</v>
      </c>
      <c r="C309">
        <f t="shared" si="13"/>
        <v>3.553831908831908E-2</v>
      </c>
      <c r="D309">
        <v>-1.3500000000000002E-2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4"/>
        <v>4.063831908831908E-2</v>
      </c>
      <c r="L309">
        <f t="shared" si="12"/>
        <v>4.625808036326217E-2</v>
      </c>
    </row>
    <row r="310" spans="1:12">
      <c r="A310">
        <v>198810</v>
      </c>
      <c r="B310">
        <f>'10-T-weights5'!B306</f>
        <v>1.7600000000000001E-2</v>
      </c>
      <c r="C310">
        <f t="shared" si="13"/>
        <v>1.3938319088319079E-2</v>
      </c>
      <c r="D310">
        <v>-2.9500000000000002E-2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4"/>
        <v>1.4038319088319078E-2</v>
      </c>
      <c r="L310">
        <f t="shared" si="12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3"/>
        <v>-2.0861680911680922E-2</v>
      </c>
      <c r="D311">
        <v>-1.6500000000000001E-2</v>
      </c>
      <c r="E311">
        <v>1.3000000000000001E-2</v>
      </c>
      <c r="F311">
        <v>-2.8000000000000004E-3</v>
      </c>
      <c r="G311">
        <v>1.6299999999999999E-2</v>
      </c>
      <c r="I311">
        <v>-2.2200000000000001E-2</v>
      </c>
      <c r="K311">
        <f t="shared" si="14"/>
        <v>-2.5861680911680923E-2</v>
      </c>
      <c r="L311">
        <f t="shared" si="12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3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4"/>
        <v>1.7638319088319077E-2</v>
      </c>
      <c r="L312">
        <f t="shared" si="12"/>
        <v>4.0594950591426669E-2</v>
      </c>
    </row>
    <row r="313" spans="1:12">
      <c r="A313">
        <v>198901</v>
      </c>
      <c r="B313">
        <f>'10-T-weights5'!B309</f>
        <v>6.6500000000000004E-2</v>
      </c>
      <c r="C313">
        <f t="shared" si="13"/>
        <v>6.2838319088319078E-2</v>
      </c>
      <c r="D313">
        <v>-2.3100000000000002E-2</v>
      </c>
      <c r="E313">
        <v>6.1999999999999998E-3</v>
      </c>
      <c r="F313">
        <v>-9.4999999999999998E-3</v>
      </c>
      <c r="G313">
        <v>1.4000000000000002E-3</v>
      </c>
      <c r="I313">
        <v>6.6500000000000004E-2</v>
      </c>
      <c r="K313">
        <f t="shared" si="14"/>
        <v>6.2838319088319078E-2</v>
      </c>
      <c r="L313">
        <f t="shared" si="12"/>
        <v>3.0592444583990835E-2</v>
      </c>
    </row>
    <row r="314" spans="1:12">
      <c r="A314">
        <v>198902</v>
      </c>
      <c r="B314">
        <f>'10-T-weights5'!B310</f>
        <v>-1.6399999999999998E-2</v>
      </c>
      <c r="C314">
        <f t="shared" si="13"/>
        <v>-2.006168091168092E-2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4"/>
        <v>1.1538319088319078E-2</v>
      </c>
      <c r="L314">
        <f t="shared" si="12"/>
        <v>2.6301351472743387E-2</v>
      </c>
    </row>
    <row r="315" spans="1:12">
      <c r="A315">
        <v>198903</v>
      </c>
      <c r="B315">
        <f>'10-T-weights5'!B311</f>
        <v>2.2400000000000003E-2</v>
      </c>
      <c r="C315">
        <f t="shared" si="13"/>
        <v>1.8738319088319081E-2</v>
      </c>
      <c r="D315">
        <v>6.8000000000000005E-3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4"/>
        <v>4.1738319088319084E-2</v>
      </c>
      <c r="L315">
        <f t="shared" si="12"/>
        <v>4.1472235631380611E-2</v>
      </c>
    </row>
    <row r="316" spans="1:12">
      <c r="A316">
        <v>198904</v>
      </c>
      <c r="B316">
        <f>'10-T-weights5'!B312</f>
        <v>4.9999999999999996E-2</v>
      </c>
      <c r="C316">
        <f t="shared" si="13"/>
        <v>4.6338319088319077E-2</v>
      </c>
      <c r="D316">
        <v>-7.8000000000000005E-3</v>
      </c>
      <c r="E316">
        <v>-1.3999999999999999E-2</v>
      </c>
      <c r="F316">
        <v>7.0999999999999995E-3</v>
      </c>
      <c r="G316">
        <v>-5.6999999999999993E-3</v>
      </c>
      <c r="I316">
        <v>5.7099999999999998E-2</v>
      </c>
      <c r="K316">
        <f t="shared" si="14"/>
        <v>5.3438319088319079E-2</v>
      </c>
      <c r="L316">
        <f t="shared" si="12"/>
        <v>4.4887428385471051E-2</v>
      </c>
    </row>
    <row r="317" spans="1:12">
      <c r="A317">
        <v>198905</v>
      </c>
      <c r="B317">
        <f>'10-T-weights5'!B313</f>
        <v>4.1400000000000006E-2</v>
      </c>
      <c r="C317">
        <f t="shared" si="13"/>
        <v>3.7738319088319087E-2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4"/>
        <v>4.9638319088319081E-2</v>
      </c>
      <c r="L317">
        <f t="shared" si="12"/>
        <v>4.8315388162142148E-2</v>
      </c>
    </row>
    <row r="318" spans="1:12">
      <c r="A318">
        <v>198906</v>
      </c>
      <c r="B318">
        <f>'10-T-weights5'!B314</f>
        <v>-6.400000000000002E-3</v>
      </c>
      <c r="C318">
        <f t="shared" si="13"/>
        <v>-1.0061680911680923E-2</v>
      </c>
      <c r="D318">
        <v>-1.0900000000000002E-2</v>
      </c>
      <c r="E318">
        <v>2.23E-2</v>
      </c>
      <c r="F318">
        <v>2.7000000000000001E-3</v>
      </c>
      <c r="G318">
        <v>1.5500000000000002E-2</v>
      </c>
      <c r="I318">
        <v>-3.2000000000000002E-3</v>
      </c>
      <c r="K318">
        <f t="shared" si="14"/>
        <v>-6.8616809116809219E-3</v>
      </c>
      <c r="L318">
        <f t="shared" si="12"/>
        <v>1.9700110110035519E-2</v>
      </c>
    </row>
    <row r="319" spans="1:12">
      <c r="A319">
        <v>198907</v>
      </c>
      <c r="B319">
        <f>'10-T-weights5'!B315</f>
        <v>7.9000000000000015E-2</v>
      </c>
      <c r="C319">
        <f t="shared" si="13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0.10160000000000001</v>
      </c>
      <c r="K319">
        <f t="shared" si="14"/>
        <v>9.7938319088319084E-2</v>
      </c>
      <c r="L319">
        <f t="shared" si="12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3"/>
        <v>1.8138319088319078E-2</v>
      </c>
      <c r="D320">
        <v>4.7999999999999996E-3</v>
      </c>
      <c r="E320">
        <v>6.0000000000000001E-3</v>
      </c>
      <c r="F320">
        <v>3.9000000000000003E-3</v>
      </c>
      <c r="G320">
        <v>-5.6999999999999993E-3</v>
      </c>
      <c r="I320">
        <v>2.1800000000000003E-2</v>
      </c>
      <c r="K320">
        <f t="shared" si="14"/>
        <v>1.8138319088319081E-2</v>
      </c>
      <c r="L320">
        <f t="shared" si="12"/>
        <v>1.1130921260692136E-2</v>
      </c>
    </row>
    <row r="321" spans="1:12">
      <c r="A321">
        <v>198909</v>
      </c>
      <c r="B321">
        <f>'10-T-weights5'!B317</f>
        <v>-1.0999999999999994E-3</v>
      </c>
      <c r="C321">
        <f t="shared" si="13"/>
        <v>-4.7616809116809208E-3</v>
      </c>
      <c r="D321">
        <v>4.8999999999999998E-3</v>
      </c>
      <c r="E321">
        <v>-1.2700000000000001E-2</v>
      </c>
      <c r="F321">
        <v>1.3999999999999999E-2</v>
      </c>
      <c r="G321">
        <v>5.1000000000000004E-3</v>
      </c>
      <c r="I321">
        <v>3.3799999999999997E-2</v>
      </c>
      <c r="K321">
        <f t="shared" si="14"/>
        <v>3.0138319088319074E-2</v>
      </c>
      <c r="L321">
        <f t="shared" si="12"/>
        <v>4.3455380563533749E-2</v>
      </c>
    </row>
    <row r="322" spans="1:12">
      <c r="A322">
        <v>198910</v>
      </c>
      <c r="B322">
        <f>'10-T-weights5'!B318</f>
        <v>-2.9900000000000003E-2</v>
      </c>
      <c r="C322">
        <f t="shared" si="13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4"/>
        <v>-4.6961680911680917E-2</v>
      </c>
      <c r="L322">
        <f t="shared" si="12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3"/>
        <v>1.3538319088319078E-2</v>
      </c>
      <c r="D323">
        <v>-1.29E-2</v>
      </c>
      <c r="E323">
        <v>-1.0900000000000002E-2</v>
      </c>
      <c r="F323">
        <v>-8.6E-3</v>
      </c>
      <c r="G323">
        <v>1.3700000000000002E-2</v>
      </c>
      <c r="I323">
        <v>1.2500000000000001E-2</v>
      </c>
      <c r="K323">
        <f t="shared" si="14"/>
        <v>8.8383190883190785E-3</v>
      </c>
      <c r="L323">
        <f t="shared" si="12"/>
        <v>2.9476698884977812E-2</v>
      </c>
    </row>
    <row r="324" spans="1:12">
      <c r="A324">
        <v>198912</v>
      </c>
      <c r="B324">
        <f>'10-T-weights5'!B320</f>
        <v>1.77E-2</v>
      </c>
      <c r="C324">
        <f t="shared" si="13"/>
        <v>1.4038319088319078E-2</v>
      </c>
      <c r="D324">
        <v>-2.2799999999999997E-2</v>
      </c>
      <c r="E324">
        <v>1.6000000000000001E-3</v>
      </c>
      <c r="F324">
        <v>-7.000000000000001E-4</v>
      </c>
      <c r="G324">
        <v>1.4499999999999999E-2</v>
      </c>
      <c r="I324">
        <v>-4.4000000000000003E-3</v>
      </c>
      <c r="K324">
        <f t="shared" si="14"/>
        <v>-8.0616809116809216E-3</v>
      </c>
      <c r="L324">
        <f t="shared" si="12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3"/>
        <v>-7.6461680911680929E-2</v>
      </c>
      <c r="D325">
        <v>-1.3200000000000002E-2</v>
      </c>
      <c r="E325">
        <v>8.5000000000000006E-3</v>
      </c>
      <c r="F325">
        <v>-1.18E-2</v>
      </c>
      <c r="G325">
        <v>1.3700000000000002E-2</v>
      </c>
      <c r="I325">
        <v>-0.10970000000000001</v>
      </c>
      <c r="K325">
        <f t="shared" si="14"/>
        <v>-0.11336168091168093</v>
      </c>
      <c r="L325">
        <f t="shared" si="12"/>
        <v>-7.4584107381569453E-2</v>
      </c>
    </row>
    <row r="326" spans="1:12">
      <c r="A326">
        <v>199002</v>
      </c>
      <c r="B326">
        <f>'10-T-weights5'!B322</f>
        <v>1.6799999999999999E-2</v>
      </c>
      <c r="C326">
        <f t="shared" si="13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4"/>
        <v>1.0738319088319077E-2</v>
      </c>
      <c r="L326">
        <f t="shared" si="12"/>
        <v>8.394251266791615E-4</v>
      </c>
    </row>
    <row r="327" spans="1:12">
      <c r="A327">
        <v>199003</v>
      </c>
      <c r="B327">
        <f>'10-T-weights5'!B323</f>
        <v>2.47E-2</v>
      </c>
      <c r="C327">
        <f t="shared" si="13"/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3.8900000000000004E-2</v>
      </c>
      <c r="K327">
        <f t="shared" si="14"/>
        <v>3.5238319088319085E-2</v>
      </c>
      <c r="L327">
        <f t="shared" ref="L327:L390" si="15">SUMPRODUCT($L$3:$P$3,C327:G327)</f>
        <v>5.6190637709903714E-2</v>
      </c>
    </row>
    <row r="328" spans="1:12">
      <c r="A328">
        <v>199004</v>
      </c>
      <c r="B328">
        <f>'10-T-weights5'!B324</f>
        <v>-2.6699999999999998E-2</v>
      </c>
      <c r="C328">
        <f t="shared" ref="C328:C391" si="16">B328-$H$3</f>
        <v>-3.036168091168092E-2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ref="K328:K391" si="17">I328-$H$3</f>
        <v>-1.9461680911680924E-2</v>
      </c>
      <c r="L328">
        <f t="shared" si="15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6"/>
        <v>8.7338319088319072E-2</v>
      </c>
      <c r="D329">
        <v>-2.3700000000000002E-2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7"/>
        <v>0.12663831908831907</v>
      </c>
      <c r="L329">
        <f t="shared" si="15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6"/>
        <v>-8.2616809116809239E-3</v>
      </c>
      <c r="D330">
        <v>1.3100000000000001E-2</v>
      </c>
      <c r="E330">
        <v>-1.9300000000000001E-2</v>
      </c>
      <c r="F330">
        <v>-1.1000000000000001E-2</v>
      </c>
      <c r="G330">
        <v>-3.5999999999999999E-3</v>
      </c>
      <c r="I330">
        <v>1.6E-2</v>
      </c>
      <c r="K330">
        <f t="shared" si="17"/>
        <v>1.2338319088319078E-2</v>
      </c>
      <c r="L330">
        <f t="shared" si="15"/>
        <v>-2.1698661096764944E-2</v>
      </c>
    </row>
    <row r="331" spans="1:12">
      <c r="A331">
        <v>199007</v>
      </c>
      <c r="B331">
        <f>'10-T-weights5'!B327</f>
        <v>-1.2199999999999999E-2</v>
      </c>
      <c r="C331">
        <f t="shared" si="16"/>
        <v>-1.5861680911680921E-2</v>
      </c>
      <c r="D331">
        <v>-3.1400000000000004E-2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7"/>
        <v>-2.1161680911680924E-2</v>
      </c>
      <c r="L331">
        <f t="shared" si="15"/>
        <v>4.6683765556599484E-2</v>
      </c>
    </row>
    <row r="332" spans="1:12">
      <c r="A332">
        <v>199008</v>
      </c>
      <c r="B332">
        <f>'10-T-weights5'!B328</f>
        <v>-9.4900000000000012E-2</v>
      </c>
      <c r="C332">
        <f t="shared" si="16"/>
        <v>-9.8561680911680938E-2</v>
      </c>
      <c r="D332">
        <v>-3.8600000000000002E-2</v>
      </c>
      <c r="E332">
        <v>1.6E-2</v>
      </c>
      <c r="F332">
        <v>-3.4999999999999996E-3</v>
      </c>
      <c r="G332">
        <v>2.9900000000000003E-2</v>
      </c>
      <c r="I332">
        <v>-0.10310000000000001</v>
      </c>
      <c r="K332">
        <f t="shared" si="17"/>
        <v>-0.10676168091168094</v>
      </c>
      <c r="L332">
        <f t="shared" si="15"/>
        <v>-5.8412278498887152E-2</v>
      </c>
    </row>
    <row r="333" spans="1:12">
      <c r="A333">
        <v>199009</v>
      </c>
      <c r="B333">
        <f>'10-T-weights5'!B329</f>
        <v>-5.5200000000000006E-2</v>
      </c>
      <c r="C333">
        <f t="shared" si="16"/>
        <v>-5.8861680911680925E-2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7"/>
        <v>-6.9061680911680925E-2</v>
      </c>
      <c r="L333">
        <f t="shared" si="15"/>
        <v>1.024794844334459E-2</v>
      </c>
    </row>
    <row r="334" spans="1:12">
      <c r="A334">
        <v>199010</v>
      </c>
      <c r="B334">
        <f>'10-T-weights5'!B330</f>
        <v>-1.2399999999999998E-2</v>
      </c>
      <c r="C334">
        <f t="shared" si="16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7"/>
        <v>-1.0661680911680921E-2</v>
      </c>
      <c r="L334">
        <f t="shared" si="15"/>
        <v>-3.4424117341094046E-4</v>
      </c>
    </row>
    <row r="335" spans="1:12">
      <c r="A335">
        <v>199011</v>
      </c>
      <c r="B335">
        <f>'10-T-weights5'!B331</f>
        <v>6.9199999999999998E-2</v>
      </c>
      <c r="C335">
        <f t="shared" si="16"/>
        <v>6.5538319088319072E-2</v>
      </c>
      <c r="D335">
        <v>4.0000000000000002E-4</v>
      </c>
      <c r="E335">
        <v>-2.9700000000000004E-2</v>
      </c>
      <c r="F335">
        <v>5.0000000000000001E-3</v>
      </c>
      <c r="G335">
        <v>-4.6900000000000004E-2</v>
      </c>
      <c r="I335">
        <v>5.5199999999999999E-2</v>
      </c>
      <c r="K335">
        <f t="shared" si="17"/>
        <v>5.153831908831908E-2</v>
      </c>
      <c r="L335">
        <f t="shared" si="15"/>
        <v>-3.727496308486028E-2</v>
      </c>
    </row>
    <row r="336" spans="1:12">
      <c r="A336">
        <v>199012</v>
      </c>
      <c r="B336">
        <f>'10-T-weights5'!B332</f>
        <v>3.0600000000000002E-2</v>
      </c>
      <c r="C336">
        <f t="shared" si="16"/>
        <v>2.693831908831908E-2</v>
      </c>
      <c r="D336">
        <v>6.4000000000000003E-3</v>
      </c>
      <c r="E336">
        <v>-1.6299999999999999E-2</v>
      </c>
      <c r="F336">
        <v>2.6400000000000003E-2</v>
      </c>
      <c r="G336">
        <v>-1.8100000000000002E-2</v>
      </c>
      <c r="I336">
        <v>1.7100000000000001E-2</v>
      </c>
      <c r="K336">
        <f t="shared" si="17"/>
        <v>1.3438319088319078E-2</v>
      </c>
      <c r="L336">
        <f t="shared" si="15"/>
        <v>3.9263831655602467E-2</v>
      </c>
    </row>
    <row r="337" spans="1:12">
      <c r="A337">
        <v>199101</v>
      </c>
      <c r="B337">
        <f>'10-T-weights5'!B333</f>
        <v>5.2100000000000007E-2</v>
      </c>
      <c r="C337">
        <f t="shared" si="16"/>
        <v>4.8438319088319089E-2</v>
      </c>
      <c r="D337">
        <v>3.8900000000000004E-2</v>
      </c>
      <c r="E337">
        <v>-1.5700000000000002E-2</v>
      </c>
      <c r="F337">
        <v>1.26E-2</v>
      </c>
      <c r="G337">
        <v>-3.85E-2</v>
      </c>
      <c r="I337">
        <v>6.0599999999999994E-2</v>
      </c>
      <c r="K337">
        <f t="shared" si="17"/>
        <v>5.6938319088319075E-2</v>
      </c>
      <c r="L337">
        <f t="shared" si="15"/>
        <v>2.5779957204402904E-3</v>
      </c>
    </row>
    <row r="338" spans="1:12">
      <c r="A338">
        <v>199102</v>
      </c>
      <c r="B338">
        <f>'10-T-weights5'!B334</f>
        <v>7.6700000000000004E-2</v>
      </c>
      <c r="C338">
        <f t="shared" si="16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7"/>
        <v>8.9738319088319071E-2</v>
      </c>
      <c r="L338">
        <f t="shared" si="15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6"/>
        <v>2.7238319088319078E-2</v>
      </c>
      <c r="D339">
        <v>3.8199999999999998E-2</v>
      </c>
      <c r="E339">
        <v>-1.3000000000000001E-2</v>
      </c>
      <c r="F339">
        <v>-5.0000000000000001E-3</v>
      </c>
      <c r="G339">
        <v>-1.11E-2</v>
      </c>
      <c r="I339">
        <v>6.5100000000000005E-2</v>
      </c>
      <c r="K339">
        <f t="shared" si="17"/>
        <v>6.1438319088319086E-2</v>
      </c>
      <c r="L339">
        <f t="shared" si="15"/>
        <v>1.9591164063934404E-2</v>
      </c>
    </row>
    <row r="340" spans="1:12">
      <c r="A340">
        <v>199104</v>
      </c>
      <c r="B340">
        <f>'10-T-weights5'!B336</f>
        <v>2.4999999999999996E-3</v>
      </c>
      <c r="C340">
        <f t="shared" si="16"/>
        <v>-1.1616809116809222E-3</v>
      </c>
      <c r="D340">
        <v>3.2000000000000002E-3</v>
      </c>
      <c r="E340">
        <v>1.4499999999999999E-2</v>
      </c>
      <c r="F340">
        <v>6.4000000000000003E-3</v>
      </c>
      <c r="G340">
        <v>8.0000000000000002E-3</v>
      </c>
      <c r="I340">
        <v>-1.47E-2</v>
      </c>
      <c r="K340">
        <f t="shared" si="17"/>
        <v>-1.836168091168092E-2</v>
      </c>
      <c r="L340">
        <f t="shared" si="15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6"/>
        <v>3.7538319088319082E-2</v>
      </c>
      <c r="D341">
        <v>1.1999999999999999E-3</v>
      </c>
      <c r="E341">
        <v>-4.8999999999999998E-3</v>
      </c>
      <c r="F341">
        <v>2.0499999999999997E-2</v>
      </c>
      <c r="G341">
        <v>-2.35E-2</v>
      </c>
      <c r="I341">
        <v>4.0599999999999997E-2</v>
      </c>
      <c r="K341">
        <f t="shared" si="17"/>
        <v>3.6938319088319078E-2</v>
      </c>
      <c r="L341">
        <f t="shared" si="15"/>
        <v>1.6336868331116396E-2</v>
      </c>
    </row>
    <row r="342" spans="1:12">
      <c r="A342">
        <v>199106</v>
      </c>
      <c r="B342">
        <f>'10-T-weights5'!B338</f>
        <v>-4.5200000000000004E-2</v>
      </c>
      <c r="C342">
        <f t="shared" si="16"/>
        <v>-4.8861680911680923E-2</v>
      </c>
      <c r="D342">
        <v>2.6000000000000003E-3</v>
      </c>
      <c r="E342">
        <v>1.0700000000000001E-2</v>
      </c>
      <c r="F342">
        <v>1.77E-2</v>
      </c>
      <c r="G342">
        <v>6.4000000000000003E-3</v>
      </c>
      <c r="I342">
        <v>-4.6300000000000001E-2</v>
      </c>
      <c r="K342">
        <f t="shared" si="17"/>
        <v>-4.996168091168092E-2</v>
      </c>
      <c r="L342">
        <f t="shared" si="15"/>
        <v>-1.3167812536506174E-3</v>
      </c>
    </row>
    <row r="343" spans="1:12">
      <c r="A343">
        <v>199107</v>
      </c>
      <c r="B343">
        <f>'10-T-weights5'!B339</f>
        <v>4.7300000000000002E-2</v>
      </c>
      <c r="C343">
        <f t="shared" si="16"/>
        <v>4.3638319088319083E-2</v>
      </c>
      <c r="D343">
        <v>-9.5999999999999992E-3</v>
      </c>
      <c r="E343">
        <v>-1.3200000000000002E-2</v>
      </c>
      <c r="F343">
        <v>1.61E-2</v>
      </c>
      <c r="G343">
        <v>-1.3600000000000001E-2</v>
      </c>
      <c r="I343">
        <v>7.740000000000001E-2</v>
      </c>
      <c r="K343">
        <f t="shared" si="17"/>
        <v>7.3738319088319085E-2</v>
      </c>
      <c r="L343">
        <f t="shared" si="15"/>
        <v>3.6520555481590292E-2</v>
      </c>
    </row>
    <row r="344" spans="1:12">
      <c r="A344">
        <v>199108</v>
      </c>
      <c r="B344">
        <f>'10-T-weights5'!B340</f>
        <v>2.7799999999999998E-2</v>
      </c>
      <c r="C344">
        <f t="shared" si="16"/>
        <v>2.4138319088319076E-2</v>
      </c>
      <c r="D344">
        <v>1.41E-2</v>
      </c>
      <c r="E344">
        <v>-7.8000000000000005E-3</v>
      </c>
      <c r="F344">
        <v>8.5000000000000006E-3</v>
      </c>
      <c r="G344">
        <v>-3.4000000000000002E-3</v>
      </c>
      <c r="I344">
        <v>5.8099999999999999E-2</v>
      </c>
      <c r="K344">
        <f t="shared" si="17"/>
        <v>5.443831908831908E-2</v>
      </c>
      <c r="L344">
        <f t="shared" si="15"/>
        <v>4.3749446469985437E-2</v>
      </c>
    </row>
    <row r="345" spans="1:12">
      <c r="A345">
        <v>199109</v>
      </c>
      <c r="B345">
        <f>'10-T-weights5'!B341</f>
        <v>-1.1300000000000001E-2</v>
      </c>
      <c r="C345">
        <f t="shared" si="16"/>
        <v>-1.4961680911680923E-2</v>
      </c>
      <c r="D345">
        <v>1.5600000000000001E-2</v>
      </c>
      <c r="E345">
        <v>-1.0700000000000001E-2</v>
      </c>
      <c r="F345">
        <v>-1.8000000000000002E-2</v>
      </c>
      <c r="G345">
        <v>8.0000000000000004E-4</v>
      </c>
      <c r="I345">
        <v>6.8000000000000005E-3</v>
      </c>
      <c r="K345">
        <f t="shared" si="17"/>
        <v>3.1383190883190787E-3</v>
      </c>
      <c r="L345">
        <f t="shared" si="15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6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7"/>
        <v>3.3438319088319082E-2</v>
      </c>
      <c r="L346">
        <f t="shared" si="15"/>
        <v>-1.7082669053123847E-2</v>
      </c>
    </row>
    <row r="347" spans="1:12">
      <c r="A347">
        <v>199111</v>
      </c>
      <c r="B347">
        <f>'10-T-weights5'!B343</f>
        <v>-3.8000000000000006E-2</v>
      </c>
      <c r="C347">
        <f t="shared" si="16"/>
        <v>-4.1661680911680925E-2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7"/>
        <v>-5.7761680911680921E-2</v>
      </c>
      <c r="L347">
        <f t="shared" si="15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6"/>
        <v>0.10853831908831907</v>
      </c>
      <c r="D348">
        <v>-2.4E-2</v>
      </c>
      <c r="E348">
        <v>-4.1799999999999997E-2</v>
      </c>
      <c r="F348">
        <v>3.56E-2</v>
      </c>
      <c r="G348">
        <v>-3.1200000000000002E-2</v>
      </c>
      <c r="I348">
        <v>0.1777</v>
      </c>
      <c r="K348">
        <f t="shared" si="17"/>
        <v>0.17403831908831907</v>
      </c>
      <c r="L348">
        <f t="shared" si="15"/>
        <v>9.3040186108763662E-2</v>
      </c>
    </row>
    <row r="349" spans="1:12">
      <c r="A349">
        <v>199201</v>
      </c>
      <c r="B349">
        <f>'10-T-weights5'!B345</f>
        <v>-2.4999999999999996E-3</v>
      </c>
      <c r="C349">
        <f t="shared" si="16"/>
        <v>-6.161680911680921E-3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7"/>
        <v>2.0738319088319079E-2</v>
      </c>
      <c r="L349">
        <f t="shared" si="15"/>
        <v>9.7887686784936645E-2</v>
      </c>
    </row>
    <row r="350" spans="1:12">
      <c r="A350">
        <v>199202</v>
      </c>
      <c r="B350">
        <f>'10-T-weights5'!B346</f>
        <v>1.3700000000000002E-2</v>
      </c>
      <c r="C350">
        <f t="shared" si="16"/>
        <v>1.003831908831908E-2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7"/>
        <v>4.6383190883190779E-3</v>
      </c>
      <c r="L350">
        <f t="shared" si="15"/>
        <v>5.2889357135233031E-2</v>
      </c>
    </row>
    <row r="351" spans="1:12">
      <c r="A351">
        <v>199203</v>
      </c>
      <c r="B351">
        <f>'10-T-weights5'!B347</f>
        <v>-2.3200000000000002E-2</v>
      </c>
      <c r="C351">
        <f t="shared" si="16"/>
        <v>-2.6861680911680924E-2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7"/>
        <v>-4.4361680911680926E-2</v>
      </c>
      <c r="L351">
        <f t="shared" si="15"/>
        <v>4.0080798894364597E-3</v>
      </c>
    </row>
    <row r="352" spans="1:12">
      <c r="A352">
        <v>199204</v>
      </c>
      <c r="B352">
        <f>'10-T-weights5'!B348</f>
        <v>1.3900000000000001E-2</v>
      </c>
      <c r="C352">
        <f t="shared" si="16"/>
        <v>1.0238319088319079E-2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7"/>
        <v>-2.9261680911680923E-2</v>
      </c>
      <c r="L352">
        <f t="shared" si="15"/>
        <v>4.4894684196533668E-2</v>
      </c>
    </row>
    <row r="353" spans="1:12">
      <c r="A353">
        <v>199205</v>
      </c>
      <c r="B353">
        <f>'10-T-weights5'!B349</f>
        <v>5.8000000000000005E-3</v>
      </c>
      <c r="C353">
        <f t="shared" si="16"/>
        <v>2.1383190883190787E-3</v>
      </c>
      <c r="D353">
        <v>2.0999999999999999E-3</v>
      </c>
      <c r="E353">
        <v>1.1899999999999999E-2</v>
      </c>
      <c r="F353">
        <v>-9.5999999999999992E-3</v>
      </c>
      <c r="G353">
        <v>4.7999999999999996E-3</v>
      </c>
      <c r="I353">
        <v>2.3199999999999998E-2</v>
      </c>
      <c r="K353">
        <f t="shared" si="17"/>
        <v>1.9538319088319076E-2</v>
      </c>
      <c r="L353">
        <f t="shared" si="15"/>
        <v>-6.4931427871359037E-3</v>
      </c>
    </row>
    <row r="354" spans="1:12">
      <c r="A354">
        <v>199206</v>
      </c>
      <c r="B354">
        <f>'10-T-weights5'!B350</f>
        <v>-2.0199999999999999E-2</v>
      </c>
      <c r="C354">
        <f t="shared" si="16"/>
        <v>-2.3861680911680921E-2</v>
      </c>
      <c r="D354">
        <v>-2.7400000000000004E-2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7"/>
        <v>-4.4561680911680918E-2</v>
      </c>
      <c r="L354">
        <f t="shared" si="15"/>
        <v>-3.0497418348309692E-2</v>
      </c>
    </row>
    <row r="355" spans="1:12">
      <c r="A355">
        <v>199207</v>
      </c>
      <c r="B355">
        <f>'10-T-weights5'!B351</f>
        <v>4.0800000000000003E-2</v>
      </c>
      <c r="C355">
        <f t="shared" si="16"/>
        <v>3.7138319088319084E-2</v>
      </c>
      <c r="D355">
        <v>-6.6000000000000008E-3</v>
      </c>
      <c r="E355">
        <v>-5.5000000000000005E-3</v>
      </c>
      <c r="F355">
        <v>1.24E-2</v>
      </c>
      <c r="G355">
        <v>-8.8999999999999999E-3</v>
      </c>
      <c r="I355">
        <v>4.0700000000000007E-2</v>
      </c>
      <c r="K355">
        <f t="shared" si="17"/>
        <v>3.7038319088319088E-2</v>
      </c>
      <c r="L355">
        <f t="shared" si="15"/>
        <v>3.4481563455847575E-2</v>
      </c>
    </row>
    <row r="356" spans="1:12">
      <c r="A356">
        <v>199208</v>
      </c>
      <c r="B356">
        <f>'10-T-weights5'!B352</f>
        <v>-2.1199999999999997E-2</v>
      </c>
      <c r="C356">
        <f t="shared" si="16"/>
        <v>-2.4861680911680919E-2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-4.5599999999999995E-2</v>
      </c>
      <c r="K356">
        <f t="shared" si="17"/>
        <v>-4.9261680911680913E-2</v>
      </c>
      <c r="L356">
        <f t="shared" si="15"/>
        <v>2.952052580749584E-3</v>
      </c>
    </row>
    <row r="357" spans="1:12">
      <c r="A357">
        <v>199209</v>
      </c>
      <c r="B357">
        <f>'10-T-weights5'!B353</f>
        <v>1.4499999999999999E-2</v>
      </c>
      <c r="C357">
        <f t="shared" si="16"/>
        <v>1.0838319088319077E-2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7"/>
        <v>3.893831908831908E-2</v>
      </c>
      <c r="L357">
        <f t="shared" si="15"/>
        <v>2.760892661758773E-2</v>
      </c>
    </row>
    <row r="358" spans="1:12">
      <c r="A358">
        <v>199210</v>
      </c>
      <c r="B358">
        <f>'10-T-weights5'!B354</f>
        <v>1.2500000000000001E-2</v>
      </c>
      <c r="C358">
        <f t="shared" si="16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7"/>
        <v>4.933831908831908E-2</v>
      </c>
      <c r="L358">
        <f t="shared" si="15"/>
        <v>3.2330144256822568E-2</v>
      </c>
    </row>
    <row r="359" spans="1:12">
      <c r="A359">
        <v>199211</v>
      </c>
      <c r="B359">
        <f>'10-T-weights5'!B355</f>
        <v>4.36E-2</v>
      </c>
      <c r="C359">
        <f t="shared" si="16"/>
        <v>3.9938319088319081E-2</v>
      </c>
      <c r="D359">
        <v>3.9800000000000002E-2</v>
      </c>
      <c r="E359">
        <v>-1.4199999999999999E-2</v>
      </c>
      <c r="F359">
        <v>-6.1999999999999998E-3</v>
      </c>
      <c r="G359">
        <v>-1.6500000000000001E-2</v>
      </c>
      <c r="I359">
        <v>8.5199999999999998E-2</v>
      </c>
      <c r="K359">
        <f t="shared" si="17"/>
        <v>8.1538319088319072E-2</v>
      </c>
      <c r="L359">
        <f t="shared" si="15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6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7"/>
        <v>5.393831908831908E-2</v>
      </c>
      <c r="L360">
        <f t="shared" si="15"/>
        <v>2.8436418490798504E-2</v>
      </c>
    </row>
    <row r="361" spans="1:12">
      <c r="A361">
        <v>199301</v>
      </c>
      <c r="B361">
        <f>'10-T-weights5'!B357</f>
        <v>1.1600000000000001E-2</v>
      </c>
      <c r="C361">
        <f t="shared" si="16"/>
        <v>7.9383190883190787E-3</v>
      </c>
      <c r="D361">
        <v>1.89E-2</v>
      </c>
      <c r="E361">
        <v>5.9500000000000004E-2</v>
      </c>
      <c r="F361">
        <v>-1.8500000000000003E-2</v>
      </c>
      <c r="G361">
        <v>2.9399999999999999E-2</v>
      </c>
      <c r="I361">
        <v>6.3100000000000003E-2</v>
      </c>
      <c r="K361">
        <f t="shared" si="17"/>
        <v>5.9438319088319085E-2</v>
      </c>
      <c r="L361">
        <f t="shared" si="15"/>
        <v>4.0032528271239751E-2</v>
      </c>
    </row>
    <row r="362" spans="1:12">
      <c r="A362">
        <v>199302</v>
      </c>
      <c r="B362">
        <f>'10-T-weights5'!B358</f>
        <v>3.4000000000000002E-3</v>
      </c>
      <c r="C362">
        <f t="shared" si="16"/>
        <v>-2.6168091168092154E-4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7"/>
        <v>-9.3616809116809207E-3</v>
      </c>
      <c r="L362">
        <f t="shared" si="15"/>
        <v>5.2854292782191399E-2</v>
      </c>
    </row>
    <row r="363" spans="1:12">
      <c r="A363">
        <v>199303</v>
      </c>
      <c r="B363">
        <f>'10-T-weights5'!B359</f>
        <v>2.5499999999999998E-2</v>
      </c>
      <c r="C363">
        <f t="shared" si="16"/>
        <v>2.1838319088319076E-2</v>
      </c>
      <c r="D363">
        <v>8.0000000000000004E-4</v>
      </c>
      <c r="E363">
        <v>1.1899999999999999E-2</v>
      </c>
      <c r="F363">
        <v>-1.7000000000000001E-3</v>
      </c>
      <c r="G363">
        <v>9.0000000000000011E-3</v>
      </c>
      <c r="I363">
        <v>4.7E-2</v>
      </c>
      <c r="K363">
        <f t="shared" si="17"/>
        <v>4.3338319088319081E-2</v>
      </c>
      <c r="L363">
        <f t="shared" si="15"/>
        <v>3.8261781636724015E-2</v>
      </c>
    </row>
    <row r="364" spans="1:12">
      <c r="A364">
        <v>199304</v>
      </c>
      <c r="B364">
        <f>'10-T-weights5'!B360</f>
        <v>-2.81E-2</v>
      </c>
      <c r="C364">
        <f t="shared" si="16"/>
        <v>-3.1761680911680919E-2</v>
      </c>
      <c r="D364">
        <v>-8.6E-3</v>
      </c>
      <c r="E364">
        <v>2.4799999999999999E-2</v>
      </c>
      <c r="F364">
        <v>-3.6000000000000004E-2</v>
      </c>
      <c r="G364">
        <v>1.44E-2</v>
      </c>
      <c r="I364">
        <v>-3.2500000000000001E-2</v>
      </c>
      <c r="K364">
        <f t="shared" si="17"/>
        <v>-3.616168091168092E-2</v>
      </c>
      <c r="L364">
        <f t="shared" si="15"/>
        <v>-7.6817583882417856E-2</v>
      </c>
    </row>
    <row r="365" spans="1:12">
      <c r="A365">
        <v>199305</v>
      </c>
      <c r="B365">
        <f>'10-T-weights5'!B361</f>
        <v>3.1100000000000003E-2</v>
      </c>
      <c r="C365">
        <f t="shared" si="16"/>
        <v>2.743831908831908E-2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7"/>
        <v>7.6938319088319079E-2</v>
      </c>
      <c r="L365">
        <f t="shared" si="15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6"/>
        <v>1.9383190883190782E-3</v>
      </c>
      <c r="D366">
        <v>1.6000000000000001E-3</v>
      </c>
      <c r="E366">
        <v>2.7200000000000002E-2</v>
      </c>
      <c r="F366">
        <v>-9.1000000000000004E-3</v>
      </c>
      <c r="G366">
        <v>1.2E-2</v>
      </c>
      <c r="I366">
        <v>2.98E-2</v>
      </c>
      <c r="K366">
        <f t="shared" si="17"/>
        <v>2.6138319088319078E-2</v>
      </c>
      <c r="L366">
        <f t="shared" si="15"/>
        <v>6.8104392500909355E-3</v>
      </c>
    </row>
    <row r="367" spans="1:12">
      <c r="A367">
        <v>199307</v>
      </c>
      <c r="B367">
        <f>'10-T-weights5'!B363</f>
        <v>-1.0000000000000005E-3</v>
      </c>
      <c r="C367">
        <f t="shared" si="16"/>
        <v>-4.6616809116809222E-3</v>
      </c>
      <c r="D367">
        <v>9.1999999999999998E-3</v>
      </c>
      <c r="E367">
        <v>2.8199999999999999E-2</v>
      </c>
      <c r="F367">
        <v>-1.8500000000000003E-2</v>
      </c>
      <c r="G367">
        <v>2.0499999999999997E-2</v>
      </c>
      <c r="I367">
        <v>8.3000000000000001E-3</v>
      </c>
      <c r="K367">
        <f t="shared" si="17"/>
        <v>4.6383190883190779E-3</v>
      </c>
      <c r="L367">
        <f t="shared" si="15"/>
        <v>9.9242304067497233E-3</v>
      </c>
    </row>
    <row r="368" spans="1:12">
      <c r="A368">
        <v>199308</v>
      </c>
      <c r="B368">
        <f>'10-T-weights5'!B364</f>
        <v>3.9600000000000003E-2</v>
      </c>
      <c r="C368">
        <f t="shared" si="16"/>
        <v>3.5938319088319085E-2</v>
      </c>
      <c r="D368">
        <v>1.1000000000000001E-3</v>
      </c>
      <c r="E368">
        <v>1.4000000000000002E-3</v>
      </c>
      <c r="F368">
        <v>-1.54E-2</v>
      </c>
      <c r="G368">
        <v>-2.9999999999999997E-4</v>
      </c>
      <c r="I368">
        <v>8.5999999999999993E-2</v>
      </c>
      <c r="K368">
        <f t="shared" si="17"/>
        <v>8.2338319088319067E-2</v>
      </c>
      <c r="L368">
        <f t="shared" si="15"/>
        <v>6.492452478756505E-3</v>
      </c>
    </row>
    <row r="369" spans="1:12">
      <c r="A369">
        <v>199309</v>
      </c>
      <c r="B369">
        <f>'10-T-weights5'!B365</f>
        <v>1.4000000000000004E-3</v>
      </c>
      <c r="C369">
        <f t="shared" si="16"/>
        <v>-2.2616809116809211E-3</v>
      </c>
      <c r="D369">
        <v>2.9399999999999999E-2</v>
      </c>
      <c r="E369">
        <v>-3.4999999999999996E-3</v>
      </c>
      <c r="F369">
        <v>2.5000000000000001E-3</v>
      </c>
      <c r="G369">
        <v>-1.6000000000000001E-3</v>
      </c>
      <c r="I369">
        <v>4.9000000000000002E-2</v>
      </c>
      <c r="K369">
        <f t="shared" si="17"/>
        <v>4.5338319088319083E-2</v>
      </c>
      <c r="L369">
        <f t="shared" si="15"/>
        <v>1.9526975675340154E-2</v>
      </c>
    </row>
    <row r="370" spans="1:12">
      <c r="A370">
        <v>199310</v>
      </c>
      <c r="B370">
        <f>'10-T-weights5'!B366</f>
        <v>1.6299999999999999E-2</v>
      </c>
      <c r="C370">
        <f t="shared" si="16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7"/>
        <v>4.9383190883190778E-3</v>
      </c>
      <c r="L370">
        <f t="shared" si="15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6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7"/>
        <v>-5.1761680911680916E-2</v>
      </c>
      <c r="L371">
        <f t="shared" si="15"/>
        <v>-9.3423429107241281E-3</v>
      </c>
    </row>
    <row r="372" spans="1:12">
      <c r="A372">
        <v>199312</v>
      </c>
      <c r="B372">
        <f>'10-T-weights5'!B368</f>
        <v>1.8800000000000001E-2</v>
      </c>
      <c r="C372">
        <f t="shared" si="16"/>
        <v>1.5138319088319079E-2</v>
      </c>
      <c r="D372">
        <v>1.38E-2</v>
      </c>
      <c r="E372">
        <v>2.7000000000000001E-3</v>
      </c>
      <c r="F372">
        <v>1.17E-2</v>
      </c>
      <c r="G372">
        <v>-3.4000000000000002E-3</v>
      </c>
      <c r="I372">
        <v>3.1300000000000001E-2</v>
      </c>
      <c r="K372">
        <f t="shared" si="17"/>
        <v>2.7638319088319079E-2</v>
      </c>
      <c r="L372">
        <f t="shared" si="15"/>
        <v>3.62781798001265E-2</v>
      </c>
    </row>
    <row r="373" spans="1:12">
      <c r="A373">
        <v>199401</v>
      </c>
      <c r="B373">
        <f>'10-T-weights5'!B369</f>
        <v>3.1200000000000002E-2</v>
      </c>
      <c r="C373">
        <f t="shared" si="16"/>
        <v>2.753831908831908E-2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7"/>
        <v>4.5338319088319083E-2</v>
      </c>
      <c r="L373">
        <f t="shared" si="15"/>
        <v>2.8088257476624752E-2</v>
      </c>
    </row>
    <row r="374" spans="1:12">
      <c r="A374">
        <v>199402</v>
      </c>
      <c r="B374">
        <f>'10-T-weights5'!B370</f>
        <v>-2.3399999999999997E-2</v>
      </c>
      <c r="C374">
        <f t="shared" si="16"/>
        <v>-2.7061680911680919E-2</v>
      </c>
      <c r="D374">
        <v>2.6700000000000002E-2</v>
      </c>
      <c r="E374">
        <v>-1.5600000000000001E-2</v>
      </c>
      <c r="F374">
        <v>2.1499999999999998E-2</v>
      </c>
      <c r="G374">
        <v>-0.01</v>
      </c>
      <c r="I374">
        <v>-1.1899999999999999E-2</v>
      </c>
      <c r="K374">
        <f t="shared" si="17"/>
        <v>-1.5561680911680921E-2</v>
      </c>
      <c r="L374">
        <f t="shared" si="15"/>
        <v>1.1073232614679313E-2</v>
      </c>
    </row>
    <row r="375" spans="1:12">
      <c r="A375">
        <v>199403</v>
      </c>
      <c r="B375">
        <f>'10-T-weights5'!B371</f>
        <v>-4.5100000000000001E-2</v>
      </c>
      <c r="C375">
        <f t="shared" si="16"/>
        <v>-4.876168091168092E-2</v>
      </c>
      <c r="D375">
        <v>-1.0900000000000002E-2</v>
      </c>
      <c r="E375">
        <v>1.5500000000000002E-2</v>
      </c>
      <c r="F375">
        <v>7.0999999999999995E-3</v>
      </c>
      <c r="G375">
        <v>1.2800000000000001E-2</v>
      </c>
      <c r="I375">
        <v>-5.4699999999999999E-2</v>
      </c>
      <c r="K375">
        <f t="shared" si="17"/>
        <v>-5.8361680911680917E-2</v>
      </c>
      <c r="L375">
        <f t="shared" si="15"/>
        <v>-1.5172520418984106E-2</v>
      </c>
    </row>
    <row r="376" spans="1:12">
      <c r="A376">
        <v>199404</v>
      </c>
      <c r="B376">
        <f>'10-T-weights5'!B372</f>
        <v>9.5000000000000015E-3</v>
      </c>
      <c r="C376">
        <f t="shared" si="16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3.4000000000000002E-3</v>
      </c>
      <c r="K376">
        <f t="shared" si="17"/>
        <v>-2.6168091168092154E-4</v>
      </c>
      <c r="L376">
        <f t="shared" si="15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6"/>
        <v>5.2383190883190777E-3</v>
      </c>
      <c r="D377">
        <v>-2.53E-2</v>
      </c>
      <c r="E377">
        <v>6.9999999999999993E-3</v>
      </c>
      <c r="F377">
        <v>6.0000000000000001E-3</v>
      </c>
      <c r="G377">
        <v>6.8000000000000005E-3</v>
      </c>
      <c r="I377">
        <v>-2.3100000000000002E-2</v>
      </c>
      <c r="K377">
        <f t="shared" si="17"/>
        <v>-2.6761680911680925E-2</v>
      </c>
      <c r="L377">
        <f t="shared" si="15"/>
        <v>1.4524533980337932E-2</v>
      </c>
    </row>
    <row r="378" spans="1:12">
      <c r="A378">
        <v>199406</v>
      </c>
      <c r="B378">
        <f>'10-T-weights5'!B374</f>
        <v>-2.7199999999999998E-2</v>
      </c>
      <c r="C378">
        <f t="shared" si="16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7"/>
        <v>-6.4761680911680927E-2</v>
      </c>
      <c r="L378">
        <f t="shared" si="15"/>
        <v>2.0780213071799572E-2</v>
      </c>
    </row>
    <row r="379" spans="1:12">
      <c r="A379">
        <v>199407</v>
      </c>
      <c r="B379">
        <f>'10-T-weights5'!B375</f>
        <v>3.1E-2</v>
      </c>
      <c r="C379">
        <f t="shared" si="16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7"/>
        <v>2.1938319088319079E-2</v>
      </c>
      <c r="L379">
        <f t="shared" si="15"/>
        <v>4.576838702204755E-3</v>
      </c>
    </row>
    <row r="380" spans="1:12">
      <c r="A380">
        <v>199408</v>
      </c>
      <c r="B380">
        <f>'10-T-weights5'!B376</f>
        <v>4.3799999999999999E-2</v>
      </c>
      <c r="C380">
        <f t="shared" si="16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7"/>
        <v>8.1038319088319086E-2</v>
      </c>
      <c r="L380">
        <f t="shared" si="15"/>
        <v>3.8586194474777291E-2</v>
      </c>
    </row>
    <row r="381" spans="1:12">
      <c r="A381">
        <v>199409</v>
      </c>
      <c r="B381">
        <f>'10-T-weights5'!B377</f>
        <v>-1.9400000000000001E-2</v>
      </c>
      <c r="C381">
        <f t="shared" si="16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7"/>
        <v>4.038319088319078E-3</v>
      </c>
      <c r="L381">
        <f t="shared" si="15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6"/>
        <v>1.3538319088319078E-2</v>
      </c>
      <c r="D382">
        <v>-2.3100000000000002E-2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7"/>
        <v>2.6338319088319077E-2</v>
      </c>
      <c r="L382">
        <f t="shared" si="15"/>
        <v>-9.3382222062923584E-3</v>
      </c>
    </row>
    <row r="383" spans="1:12">
      <c r="A383">
        <v>199411</v>
      </c>
      <c r="B383">
        <f>'10-T-weights5'!B379</f>
        <v>-3.6699999999999997E-2</v>
      </c>
      <c r="C383">
        <f t="shared" si="16"/>
        <v>-4.0361680911680915E-2</v>
      </c>
      <c r="D383">
        <v>1.3000000000000002E-3</v>
      </c>
      <c r="E383">
        <v>-7.3000000000000001E-3</v>
      </c>
      <c r="F383">
        <v>4.0000000000000001E-3</v>
      </c>
      <c r="G383">
        <v>-3.9000000000000003E-3</v>
      </c>
      <c r="I383">
        <v>-5.3099999999999994E-2</v>
      </c>
      <c r="K383">
        <f t="shared" si="17"/>
        <v>-5.6761680911680913E-2</v>
      </c>
      <c r="L383">
        <f t="shared" si="15"/>
        <v>-3.9383980403490441E-2</v>
      </c>
    </row>
    <row r="384" spans="1:12">
      <c r="A384">
        <v>199412</v>
      </c>
      <c r="B384">
        <f>'10-T-weights5'!B380</f>
        <v>1.3000000000000001E-2</v>
      </c>
      <c r="C384">
        <f t="shared" si="16"/>
        <v>9.3383190883190789E-3</v>
      </c>
      <c r="D384">
        <v>-4.0000000000000002E-4</v>
      </c>
      <c r="E384">
        <v>-8.9999999999999998E-4</v>
      </c>
      <c r="F384">
        <v>3.9000000000000003E-3</v>
      </c>
      <c r="G384">
        <v>3.0000000000000001E-3</v>
      </c>
      <c r="I384">
        <v>1.7600000000000001E-2</v>
      </c>
      <c r="K384">
        <f t="shared" si="17"/>
        <v>1.3938319088319079E-2</v>
      </c>
      <c r="L384">
        <f t="shared" si="15"/>
        <v>2.4695585947572308E-2</v>
      </c>
    </row>
    <row r="385" spans="1:12">
      <c r="A385">
        <v>199501</v>
      </c>
      <c r="B385">
        <f>'10-T-weights5'!B381</f>
        <v>2.2200000000000001E-2</v>
      </c>
      <c r="C385">
        <f t="shared" si="16"/>
        <v>1.8538319088319079E-2</v>
      </c>
      <c r="D385">
        <v>-3.0200000000000001E-2</v>
      </c>
      <c r="E385">
        <v>2.5099999999999997E-2</v>
      </c>
      <c r="F385">
        <v>2E-3</v>
      </c>
      <c r="G385">
        <v>-7.6E-3</v>
      </c>
      <c r="I385">
        <v>-1.78E-2</v>
      </c>
      <c r="K385">
        <f t="shared" si="17"/>
        <v>-2.1461680911680922E-2</v>
      </c>
      <c r="L385">
        <f t="shared" si="15"/>
        <v>-2.8548355913425787E-2</v>
      </c>
    </row>
    <row r="386" spans="1:12">
      <c r="A386">
        <v>199502</v>
      </c>
      <c r="B386">
        <f>'10-T-weights5'!B382</f>
        <v>4.0300000000000002E-2</v>
      </c>
      <c r="C386">
        <f t="shared" si="16"/>
        <v>3.6638319088319084E-2</v>
      </c>
      <c r="D386">
        <v>-5.4000000000000003E-3</v>
      </c>
      <c r="E386">
        <v>1.0900000000000002E-2</v>
      </c>
      <c r="F386">
        <v>5.6000000000000008E-3</v>
      </c>
      <c r="G386">
        <v>-2.8000000000000004E-3</v>
      </c>
      <c r="I386">
        <v>4.3200000000000002E-2</v>
      </c>
      <c r="K386">
        <f t="shared" si="17"/>
        <v>3.9538319088319084E-2</v>
      </c>
      <c r="L386">
        <f t="shared" si="15"/>
        <v>3.1606983140039638E-2</v>
      </c>
    </row>
    <row r="387" spans="1:12">
      <c r="A387">
        <v>199503</v>
      </c>
      <c r="B387">
        <f>'10-T-weights5'!B383</f>
        <v>2.6499999999999999E-2</v>
      </c>
      <c r="C387">
        <f t="shared" si="16"/>
        <v>2.2838319088319077E-2</v>
      </c>
      <c r="D387">
        <v>-5.3E-3</v>
      </c>
      <c r="E387">
        <v>-2.0800000000000003E-2</v>
      </c>
      <c r="F387">
        <v>-1.3000000000000002E-3</v>
      </c>
      <c r="G387">
        <v>2.3999999999999998E-3</v>
      </c>
      <c r="I387">
        <v>3.9700000000000006E-2</v>
      </c>
      <c r="K387">
        <f t="shared" si="17"/>
        <v>3.6038319088319087E-2</v>
      </c>
      <c r="L387">
        <f t="shared" si="15"/>
        <v>3.1616156017665861E-2</v>
      </c>
    </row>
    <row r="388" spans="1:12">
      <c r="A388">
        <v>199504</v>
      </c>
      <c r="B388">
        <f>'10-T-weights5'!B384</f>
        <v>2.5500000000000002E-2</v>
      </c>
      <c r="C388">
        <f t="shared" si="16"/>
        <v>2.183831908831908E-2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7"/>
        <v>4.3138319088319083E-2</v>
      </c>
      <c r="L388">
        <f t="shared" si="15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6"/>
        <v>3.0738319088319078E-2</v>
      </c>
      <c r="D389">
        <v>-2.1800000000000003E-2</v>
      </c>
      <c r="E389">
        <v>2.2700000000000001E-2</v>
      </c>
      <c r="F389">
        <v>3.5999999999999999E-3</v>
      </c>
      <c r="G389">
        <v>1E-3</v>
      </c>
      <c r="I389">
        <v>2.6600000000000002E-2</v>
      </c>
      <c r="K389">
        <f t="shared" si="17"/>
        <v>2.293831908831908E-2</v>
      </c>
      <c r="L389">
        <f t="shared" si="15"/>
        <v>1.6143393509612428E-2</v>
      </c>
    </row>
    <row r="390" spans="1:12">
      <c r="A390">
        <v>199506</v>
      </c>
      <c r="B390">
        <f>'10-T-weights5'!B386</f>
        <v>3.1900000000000005E-2</v>
      </c>
      <c r="C390">
        <f t="shared" si="16"/>
        <v>2.8238319088319083E-2</v>
      </c>
      <c r="D390">
        <v>3.0299999999999997E-2</v>
      </c>
      <c r="E390">
        <v>-2.5400000000000002E-2</v>
      </c>
      <c r="F390">
        <v>-3.4999999999999996E-3</v>
      </c>
      <c r="G390">
        <v>-2.4799999999999999E-2</v>
      </c>
      <c r="I390">
        <v>7.2300000000000003E-2</v>
      </c>
      <c r="K390">
        <f t="shared" si="17"/>
        <v>6.8638319088319077E-2</v>
      </c>
      <c r="L390">
        <f t="shared" si="15"/>
        <v>-1.3293872749322651E-2</v>
      </c>
    </row>
    <row r="391" spans="1:12">
      <c r="A391">
        <v>199507</v>
      </c>
      <c r="B391">
        <f>'10-T-weights5'!B387</f>
        <v>4.1700000000000001E-2</v>
      </c>
      <c r="C391">
        <f t="shared" si="16"/>
        <v>3.8038319088319082E-2</v>
      </c>
      <c r="D391">
        <v>2.0800000000000003E-2</v>
      </c>
      <c r="E391">
        <v>-1.5900000000000001E-2</v>
      </c>
      <c r="F391">
        <v>2.8000000000000004E-3</v>
      </c>
      <c r="G391">
        <v>-1.6399999999999998E-2</v>
      </c>
      <c r="I391">
        <v>6.5500000000000003E-2</v>
      </c>
      <c r="K391">
        <f t="shared" si="17"/>
        <v>6.1838319088319084E-2</v>
      </c>
      <c r="L391">
        <f t="shared" ref="L391:L454" si="18">SUMPRODUCT($L$3:$P$3,C391:G391)</f>
        <v>2.0301175882319888E-2</v>
      </c>
    </row>
    <row r="392" spans="1:12">
      <c r="A392">
        <v>199508</v>
      </c>
      <c r="B392">
        <f>'10-T-weights5'!B388</f>
        <v>1.0200000000000001E-2</v>
      </c>
      <c r="C392">
        <f t="shared" ref="C392:C455" si="19">B392-$H$3</f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ref="K392:K455" si="20">I392-$H$3</f>
        <v>3.9383190883190786E-3</v>
      </c>
      <c r="L392">
        <f t="shared" si="18"/>
        <v>2.697500316991874E-2</v>
      </c>
    </row>
    <row r="393" spans="1:12">
      <c r="A393">
        <v>199509</v>
      </c>
      <c r="B393">
        <f>'10-T-weights5'!B389</f>
        <v>3.78E-2</v>
      </c>
      <c r="C393">
        <f t="shared" si="19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3.2799999999999996E-2</v>
      </c>
      <c r="K393">
        <f t="shared" si="20"/>
        <v>2.9138319088319074E-2</v>
      </c>
      <c r="L393">
        <f t="shared" si="18"/>
        <v>5.0637175169769795E-2</v>
      </c>
    </row>
    <row r="394" spans="1:12">
      <c r="A394">
        <v>199510</v>
      </c>
      <c r="B394">
        <f>'10-T-weights5'!B390</f>
        <v>-1.0499999999999999E-2</v>
      </c>
      <c r="C394">
        <f t="shared" si="19"/>
        <v>-1.4161680911680921E-2</v>
      </c>
      <c r="D394">
        <v>-4.0700000000000007E-2</v>
      </c>
      <c r="E394">
        <v>-5.1000000000000004E-3</v>
      </c>
      <c r="F394">
        <v>1.8600000000000002E-2</v>
      </c>
      <c r="G394">
        <v>-4.0000000000000002E-4</v>
      </c>
      <c r="I394">
        <v>-3.3000000000000004E-3</v>
      </c>
      <c r="K394">
        <f t="shared" si="20"/>
        <v>-6.9616809116809222E-3</v>
      </c>
      <c r="L394">
        <f t="shared" si="18"/>
        <v>-5.9363643212077257E-3</v>
      </c>
    </row>
    <row r="395" spans="1:12">
      <c r="A395">
        <v>199511</v>
      </c>
      <c r="B395">
        <f>'10-T-weights5'!B391</f>
        <v>4.3800000000000006E-2</v>
      </c>
      <c r="C395">
        <f t="shared" si="19"/>
        <v>4.0138319088319087E-2</v>
      </c>
      <c r="D395">
        <v>-1.0700000000000001E-2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20"/>
        <v>9.4383190883190783E-3</v>
      </c>
      <c r="L395">
        <f t="shared" si="18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9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20"/>
        <v>-1.7561680911680921E-2</v>
      </c>
      <c r="L396">
        <f t="shared" si="18"/>
        <v>7.1679415859448148E-2</v>
      </c>
    </row>
    <row r="397" spans="1:12">
      <c r="A397">
        <v>199601</v>
      </c>
      <c r="B397">
        <f>'10-T-weights5'!B393</f>
        <v>2.69E-2</v>
      </c>
      <c r="C397">
        <f t="shared" si="19"/>
        <v>2.3238319088319078E-2</v>
      </c>
      <c r="D397">
        <v>-2.5600000000000001E-2</v>
      </c>
      <c r="E397">
        <v>4.0000000000000001E-3</v>
      </c>
      <c r="F397">
        <v>1.9E-3</v>
      </c>
      <c r="G397">
        <v>2.3100000000000002E-2</v>
      </c>
      <c r="I397">
        <v>2.7000000000000003E-2</v>
      </c>
      <c r="K397">
        <f t="shared" si="20"/>
        <v>2.3338319088319081E-2</v>
      </c>
      <c r="L397">
        <f t="shared" si="18"/>
        <v>6.912840844365023E-2</v>
      </c>
    </row>
    <row r="398" spans="1:12">
      <c r="A398">
        <v>199602</v>
      </c>
      <c r="B398">
        <f>'10-T-weights5'!B394</f>
        <v>1.72E-2</v>
      </c>
      <c r="C398">
        <f t="shared" si="19"/>
        <v>1.3538319088319078E-2</v>
      </c>
      <c r="D398">
        <v>1.7600000000000001E-2</v>
      </c>
      <c r="E398">
        <v>-1.0700000000000001E-2</v>
      </c>
      <c r="F398">
        <v>2.3999999999999998E-3</v>
      </c>
      <c r="G398">
        <v>-1.89E-2</v>
      </c>
      <c r="I398">
        <v>3.5700000000000003E-2</v>
      </c>
      <c r="K398">
        <f t="shared" si="20"/>
        <v>3.2038319088319084E-2</v>
      </c>
      <c r="L398">
        <f t="shared" si="18"/>
        <v>-1.5862115632962498E-2</v>
      </c>
    </row>
    <row r="399" spans="1:12">
      <c r="A399">
        <v>199603</v>
      </c>
      <c r="B399">
        <f>'10-T-weights5'!B395</f>
        <v>1.12E-2</v>
      </c>
      <c r="C399">
        <f t="shared" si="19"/>
        <v>7.5383190883190777E-3</v>
      </c>
      <c r="D399">
        <v>1.6399999999999998E-2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20"/>
        <v>9.3831908831907814E-4</v>
      </c>
      <c r="L399">
        <f t="shared" si="18"/>
        <v>1.9422407140734305E-2</v>
      </c>
    </row>
    <row r="400" spans="1:12">
      <c r="A400">
        <v>199604</v>
      </c>
      <c r="B400">
        <f>'10-T-weights5'!B396</f>
        <v>2.52E-2</v>
      </c>
      <c r="C400">
        <f t="shared" si="19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20"/>
        <v>5.9938319088319085E-2</v>
      </c>
      <c r="L400">
        <f t="shared" si="18"/>
        <v>1.0831698835775602E-2</v>
      </c>
    </row>
    <row r="401" spans="1:12">
      <c r="A401">
        <v>199605</v>
      </c>
      <c r="B401">
        <f>'10-T-weights5'!B397</f>
        <v>2.7799999999999998E-2</v>
      </c>
      <c r="C401">
        <f t="shared" si="19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20"/>
        <v>4.7738319088319082E-2</v>
      </c>
      <c r="L401">
        <f t="shared" si="18"/>
        <v>4.4614712398843695E-2</v>
      </c>
    </row>
    <row r="402" spans="1:12">
      <c r="A402">
        <v>199606</v>
      </c>
      <c r="B402">
        <f>'10-T-weights5'!B398</f>
        <v>-7.3999999999999986E-3</v>
      </c>
      <c r="C402">
        <f t="shared" si="19"/>
        <v>-1.1061680911680921E-2</v>
      </c>
      <c r="D402">
        <v>-3.6400000000000002E-2</v>
      </c>
      <c r="E402">
        <v>2.3799999999999998E-2</v>
      </c>
      <c r="F402">
        <v>3.4799999999999998E-2</v>
      </c>
      <c r="G402">
        <v>1.2E-2</v>
      </c>
      <c r="I402">
        <v>-4.1100000000000005E-2</v>
      </c>
      <c r="K402">
        <f t="shared" si="20"/>
        <v>-4.4761680911680923E-2</v>
      </c>
      <c r="L402">
        <f t="shared" si="18"/>
        <v>5.1598869932301422E-2</v>
      </c>
    </row>
    <row r="403" spans="1:12">
      <c r="A403">
        <v>199607</v>
      </c>
      <c r="B403">
        <f>'10-T-weights5'!B399</f>
        <v>-5.5199999999999999E-2</v>
      </c>
      <c r="C403">
        <f t="shared" si="19"/>
        <v>-5.8861680911680918E-2</v>
      </c>
      <c r="D403">
        <v>-3.7999999999999999E-2</v>
      </c>
      <c r="E403">
        <v>5.1400000000000001E-2</v>
      </c>
      <c r="F403">
        <v>2.9700000000000004E-2</v>
      </c>
      <c r="G403">
        <v>2.5600000000000001E-2</v>
      </c>
      <c r="I403">
        <v>-0.1082</v>
      </c>
      <c r="K403">
        <f t="shared" si="20"/>
        <v>-0.11186168091168093</v>
      </c>
      <c r="L403">
        <f t="shared" si="18"/>
        <v>1.8073491948497326E-2</v>
      </c>
    </row>
    <row r="404" spans="1:12">
      <c r="A404">
        <v>199608</v>
      </c>
      <c r="B404">
        <f>'10-T-weights5'!B400</f>
        <v>3.1800000000000002E-2</v>
      </c>
      <c r="C404">
        <f t="shared" si="19"/>
        <v>2.813831908831908E-2</v>
      </c>
      <c r="D404">
        <v>2.58E-2</v>
      </c>
      <c r="E404">
        <v>-7.4000000000000003E-3</v>
      </c>
      <c r="F404">
        <v>-4.0999999999999995E-3</v>
      </c>
      <c r="G404">
        <v>-2.4E-2</v>
      </c>
      <c r="I404">
        <v>5.7699999999999994E-2</v>
      </c>
      <c r="K404">
        <f t="shared" si="20"/>
        <v>5.4038319088319076E-2</v>
      </c>
      <c r="L404">
        <f t="shared" si="18"/>
        <v>-2.2744513486022043E-2</v>
      </c>
    </row>
    <row r="405" spans="1:12">
      <c r="A405">
        <v>199609</v>
      </c>
      <c r="B405">
        <f>'10-T-weights5'!B401</f>
        <v>5.45E-2</v>
      </c>
      <c r="C405">
        <f t="shared" si="19"/>
        <v>5.0838319088319081E-2</v>
      </c>
      <c r="D405">
        <v>-1.3899999999999999E-2</v>
      </c>
      <c r="E405">
        <v>-2.7000000000000003E-2</v>
      </c>
      <c r="F405">
        <v>1.23E-2</v>
      </c>
      <c r="G405">
        <v>-2.2200000000000001E-2</v>
      </c>
      <c r="I405">
        <v>8.0199999999999994E-2</v>
      </c>
      <c r="K405">
        <f t="shared" si="20"/>
        <v>7.6538319088319068E-2</v>
      </c>
      <c r="L405">
        <f t="shared" si="18"/>
        <v>1.646031560452698E-2</v>
      </c>
    </row>
    <row r="406" spans="1:12">
      <c r="A406">
        <v>199610</v>
      </c>
      <c r="B406">
        <f>'10-T-weights5'!B402</f>
        <v>1.2799999999999999E-2</v>
      </c>
      <c r="C406">
        <f t="shared" si="19"/>
        <v>9.1383190883190767E-3</v>
      </c>
      <c r="D406">
        <v>-3.7600000000000001E-2</v>
      </c>
      <c r="E406">
        <v>4.9400000000000006E-2</v>
      </c>
      <c r="F406">
        <v>1.38E-2</v>
      </c>
      <c r="G406">
        <v>3.2599999999999997E-2</v>
      </c>
      <c r="I406">
        <v>-1.03E-2</v>
      </c>
      <c r="K406">
        <f t="shared" si="20"/>
        <v>-1.3961680911680922E-2</v>
      </c>
      <c r="L406">
        <f t="shared" si="18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9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-7.8000000000000005E-3</v>
      </c>
      <c r="I407">
        <v>1.6E-2</v>
      </c>
      <c r="K407">
        <f t="shared" si="20"/>
        <v>1.2338319088319078E-2</v>
      </c>
      <c r="L407">
        <f t="shared" si="18"/>
        <v>5.0004489984770237E-2</v>
      </c>
    </row>
    <row r="408" spans="1:12">
      <c r="A408">
        <v>199612</v>
      </c>
      <c r="B408">
        <f>'10-T-weights5'!B404</f>
        <v>-1.2400000000000001E-2</v>
      </c>
      <c r="C408">
        <f t="shared" si="19"/>
        <v>-1.6061680911680924E-2</v>
      </c>
      <c r="D408">
        <v>3.2599999999999997E-2</v>
      </c>
      <c r="E408">
        <v>1.3200000000000002E-2</v>
      </c>
      <c r="F408">
        <v>3.8E-3</v>
      </c>
      <c r="G408">
        <v>1.47E-2</v>
      </c>
      <c r="I408">
        <v>8.8000000000000005E-3</v>
      </c>
      <c r="K408">
        <f t="shared" si="20"/>
        <v>5.1383190883190783E-3</v>
      </c>
      <c r="L408">
        <f t="shared" si="18"/>
        <v>4.682381732623693E-2</v>
      </c>
    </row>
    <row r="409" spans="1:12">
      <c r="A409">
        <v>199701</v>
      </c>
      <c r="B409">
        <f>'10-T-weights5'!B405</f>
        <v>5.4400000000000004E-2</v>
      </c>
      <c r="C409">
        <f t="shared" si="19"/>
        <v>5.0738319088319085E-2</v>
      </c>
      <c r="D409">
        <v>-1.83E-2</v>
      </c>
      <c r="E409">
        <v>-1.46E-2</v>
      </c>
      <c r="F409">
        <v>1.2200000000000001E-2</v>
      </c>
      <c r="G409">
        <v>-1.3000000000000002E-3</v>
      </c>
      <c r="I409">
        <v>9.11E-2</v>
      </c>
      <c r="K409">
        <f t="shared" si="20"/>
        <v>8.7438319088319075E-2</v>
      </c>
      <c r="L409">
        <f t="shared" si="18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9"/>
        <v>-4.6616809116809214E-3</v>
      </c>
      <c r="D410">
        <v>-2.5600000000000001E-2</v>
      </c>
      <c r="E410">
        <v>5.6900000000000006E-2</v>
      </c>
      <c r="F410">
        <v>6.5000000000000006E-3</v>
      </c>
      <c r="G410">
        <v>3.4799999999999998E-2</v>
      </c>
      <c r="I410">
        <v>-6.8400000000000002E-2</v>
      </c>
      <c r="K410">
        <f t="shared" si="20"/>
        <v>-7.2061680911680928E-2</v>
      </c>
      <c r="L410">
        <f t="shared" si="18"/>
        <v>5.9442719204507007E-2</v>
      </c>
    </row>
    <row r="411" spans="1:12">
      <c r="A411">
        <v>199703</v>
      </c>
      <c r="B411">
        <f>'10-T-weights5'!B407</f>
        <v>-4.6000000000000006E-2</v>
      </c>
      <c r="C411">
        <f t="shared" si="19"/>
        <v>-4.9661680911680925E-2</v>
      </c>
      <c r="D411">
        <v>-4.1999999999999997E-3</v>
      </c>
      <c r="E411">
        <v>3.4000000000000002E-2</v>
      </c>
      <c r="F411">
        <v>4.5000000000000005E-3</v>
      </c>
      <c r="G411">
        <v>1.7000000000000001E-2</v>
      </c>
      <c r="I411">
        <v>-4.5700000000000005E-2</v>
      </c>
      <c r="K411">
        <f t="shared" si="20"/>
        <v>-4.9361680911680923E-2</v>
      </c>
      <c r="L411">
        <f t="shared" si="18"/>
        <v>-1.2750222414482773E-2</v>
      </c>
    </row>
    <row r="412" spans="1:12">
      <c r="A412">
        <v>199704</v>
      </c>
      <c r="B412">
        <f>'10-T-weights5'!B408</f>
        <v>4.4699999999999997E-2</v>
      </c>
      <c r="C412">
        <f t="shared" si="19"/>
        <v>4.1038319088319078E-2</v>
      </c>
      <c r="D412">
        <v>-5.7099999999999998E-2</v>
      </c>
      <c r="E412">
        <v>7.000000000000001E-4</v>
      </c>
      <c r="F412">
        <v>3.2400000000000005E-2</v>
      </c>
      <c r="G412">
        <v>-7.0999999999999995E-3</v>
      </c>
      <c r="I412">
        <v>8.9399999999999993E-2</v>
      </c>
      <c r="K412">
        <f t="shared" si="20"/>
        <v>8.5738319088319068E-2</v>
      </c>
      <c r="L412">
        <f t="shared" si="18"/>
        <v>4.3839209997514464E-2</v>
      </c>
    </row>
    <row r="413" spans="1:12">
      <c r="A413">
        <v>199705</v>
      </c>
      <c r="B413">
        <f>'10-T-weights5'!B409</f>
        <v>7.2300000000000003E-2</v>
      </c>
      <c r="C413">
        <f t="shared" si="19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-2.9500000000000002E-2</v>
      </c>
      <c r="I413">
        <v>6.1399999999999996E-2</v>
      </c>
      <c r="K413">
        <f t="shared" si="20"/>
        <v>5.7738319088319077E-2</v>
      </c>
      <c r="L413">
        <f t="shared" si="18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9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20"/>
        <v>4.1538319088319078E-2</v>
      </c>
      <c r="L414">
        <f t="shared" si="18"/>
        <v>7.0000719073571777E-2</v>
      </c>
    </row>
    <row r="415" spans="1:12">
      <c r="A415">
        <v>199707</v>
      </c>
      <c r="B415">
        <f>'10-T-weights5'!B411</f>
        <v>7.7600000000000002E-2</v>
      </c>
      <c r="C415">
        <f t="shared" si="19"/>
        <v>7.3938319088319077E-2</v>
      </c>
      <c r="D415">
        <v>-2.7700000000000002E-2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20"/>
        <v>0.14833831908831907</v>
      </c>
      <c r="L415">
        <f t="shared" si="18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9"/>
        <v>-4.1061680911680921E-2</v>
      </c>
      <c r="D416">
        <v>7.6300000000000007E-2</v>
      </c>
      <c r="E416">
        <v>1.2E-2</v>
      </c>
      <c r="F416">
        <v>-1.0900000000000002E-2</v>
      </c>
      <c r="G416">
        <v>8.9999999999999998E-4</v>
      </c>
      <c r="I416">
        <v>-2.7000000000000003E-2</v>
      </c>
      <c r="K416">
        <f t="shared" si="20"/>
        <v>-3.0661680911680925E-2</v>
      </c>
      <c r="L416">
        <f t="shared" si="18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9"/>
        <v>5.4238319088319081E-2</v>
      </c>
      <c r="D417">
        <v>2.4900000000000002E-2</v>
      </c>
      <c r="E417">
        <v>3.8E-3</v>
      </c>
      <c r="F417">
        <v>-1.6200000000000003E-2</v>
      </c>
      <c r="G417">
        <v>-8.5000000000000006E-3</v>
      </c>
      <c r="I417">
        <v>6.9100000000000009E-2</v>
      </c>
      <c r="K417">
        <f t="shared" si="20"/>
        <v>6.5438319088319083E-2</v>
      </c>
      <c r="L417">
        <f t="shared" si="18"/>
        <v>1.669511273714247E-2</v>
      </c>
    </row>
    <row r="418" spans="1:12">
      <c r="A418">
        <v>199710</v>
      </c>
      <c r="B418">
        <f>'10-T-weights5'!B414</f>
        <v>-3.3799999999999997E-2</v>
      </c>
      <c r="C418">
        <f t="shared" si="19"/>
        <v>-3.7461680911680915E-2</v>
      </c>
      <c r="D418">
        <v>-5.5000000000000005E-3</v>
      </c>
      <c r="E418">
        <v>2.2499999999999999E-2</v>
      </c>
      <c r="F418">
        <v>1.0400000000000001E-2</v>
      </c>
      <c r="G418">
        <v>1.8800000000000001E-2</v>
      </c>
      <c r="I418">
        <v>-7.85E-2</v>
      </c>
      <c r="K418">
        <f t="shared" si="20"/>
        <v>-8.2161680911680926E-2</v>
      </c>
      <c r="L418">
        <f t="shared" si="18"/>
        <v>1.9053976622044059E-2</v>
      </c>
    </row>
    <row r="419" spans="1:12">
      <c r="A419">
        <v>199711</v>
      </c>
      <c r="B419">
        <f>'10-T-weights5'!B415</f>
        <v>3.3700000000000001E-2</v>
      </c>
      <c r="C419">
        <f t="shared" si="19"/>
        <v>3.0038319088319079E-2</v>
      </c>
      <c r="D419">
        <v>-5.0999999999999997E-2</v>
      </c>
      <c r="E419">
        <v>1.1899999999999999E-2</v>
      </c>
      <c r="F419">
        <v>2.81E-2</v>
      </c>
      <c r="G419">
        <v>1.67E-2</v>
      </c>
      <c r="I419">
        <v>1.1899999999999999E-2</v>
      </c>
      <c r="K419">
        <f t="shared" si="20"/>
        <v>8.2383190883190769E-3</v>
      </c>
      <c r="L419">
        <f t="shared" si="18"/>
        <v>8.7557648868846205E-2</v>
      </c>
    </row>
    <row r="420" spans="1:12">
      <c r="A420">
        <v>199712</v>
      </c>
      <c r="B420">
        <f>'10-T-weights5'!B416</f>
        <v>1.8000000000000002E-2</v>
      </c>
      <c r="C420">
        <f t="shared" si="19"/>
        <v>1.433831908831908E-2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20"/>
        <v>1.0638319088319078E-2</v>
      </c>
      <c r="L420">
        <f t="shared" si="18"/>
        <v>5.2783938596744163E-2</v>
      </c>
    </row>
    <row r="421" spans="1:12">
      <c r="A421">
        <v>199801</v>
      </c>
      <c r="B421">
        <f>'10-T-weights5'!B417</f>
        <v>5.7999999999999996E-3</v>
      </c>
      <c r="C421">
        <f t="shared" si="19"/>
        <v>2.1383190883190778E-3</v>
      </c>
      <c r="D421">
        <v>-1.3600000000000001E-2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20"/>
        <v>2.3038319088319079E-2</v>
      </c>
      <c r="L421">
        <f t="shared" si="18"/>
        <v>-6.6467214759969515E-3</v>
      </c>
    </row>
    <row r="422" spans="1:12">
      <c r="A422">
        <v>199802</v>
      </c>
      <c r="B422">
        <f>'10-T-weights5'!B418</f>
        <v>7.4300000000000005E-2</v>
      </c>
      <c r="C422">
        <f t="shared" si="19"/>
        <v>7.0638319088319079E-2</v>
      </c>
      <c r="D422">
        <v>2E-3</v>
      </c>
      <c r="E422">
        <v>-8.5000000000000006E-3</v>
      </c>
      <c r="F422">
        <v>-3.4000000000000002E-3</v>
      </c>
      <c r="G422">
        <v>-2.3199999999999998E-2</v>
      </c>
      <c r="I422">
        <v>9.8599999999999993E-2</v>
      </c>
      <c r="K422">
        <f t="shared" si="20"/>
        <v>9.4938319088319068E-2</v>
      </c>
      <c r="L422">
        <f t="shared" si="18"/>
        <v>7.4963749053588782E-3</v>
      </c>
    </row>
    <row r="423" spans="1:12">
      <c r="A423">
        <v>199803</v>
      </c>
      <c r="B423">
        <f>'10-T-weights5'!B419</f>
        <v>5.1499999999999997E-2</v>
      </c>
      <c r="C423">
        <f t="shared" si="19"/>
        <v>4.7838319088319078E-2</v>
      </c>
      <c r="D423">
        <v>-6.3E-3</v>
      </c>
      <c r="E423">
        <v>1.41E-2</v>
      </c>
      <c r="F423">
        <v>-2.8999999999999998E-3</v>
      </c>
      <c r="G423">
        <v>-4.0999999999999995E-3</v>
      </c>
      <c r="I423">
        <v>6.5199999999999994E-2</v>
      </c>
      <c r="K423">
        <f t="shared" si="20"/>
        <v>6.1538319088319075E-2</v>
      </c>
      <c r="L423">
        <f t="shared" si="18"/>
        <v>2.1536947358914448E-2</v>
      </c>
    </row>
    <row r="424" spans="1:12">
      <c r="A424">
        <v>199804</v>
      </c>
      <c r="B424">
        <f>'10-T-weights5'!B420</f>
        <v>1.1599999999999999E-2</v>
      </c>
      <c r="C424">
        <f t="shared" si="19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5.5099999999999996E-2</v>
      </c>
      <c r="K424">
        <f t="shared" si="20"/>
        <v>5.1438319088319077E-2</v>
      </c>
      <c r="L424">
        <f t="shared" si="18"/>
        <v>-3.8990798295747316E-2</v>
      </c>
    </row>
    <row r="425" spans="1:12">
      <c r="A425">
        <v>199805</v>
      </c>
      <c r="B425">
        <f>'10-T-weights5'!B421</f>
        <v>-2.6699999999999998E-2</v>
      </c>
      <c r="C425">
        <f t="shared" si="19"/>
        <v>-3.036168091168092E-2</v>
      </c>
      <c r="D425">
        <v>-2.92E-2</v>
      </c>
      <c r="E425">
        <v>3.4000000000000002E-2</v>
      </c>
      <c r="F425">
        <v>1.0800000000000001E-2</v>
      </c>
      <c r="G425">
        <v>2.7400000000000004E-2</v>
      </c>
      <c r="I425">
        <v>-3.49E-2</v>
      </c>
      <c r="K425">
        <f t="shared" si="20"/>
        <v>-3.8561680911680919E-2</v>
      </c>
      <c r="L425">
        <f t="shared" si="18"/>
        <v>2.8995286372592868E-2</v>
      </c>
    </row>
    <row r="426" spans="1:12">
      <c r="A426">
        <v>199806</v>
      </c>
      <c r="B426">
        <f>'10-T-weights5'!B422</f>
        <v>3.5900000000000001E-2</v>
      </c>
      <c r="C426">
        <f t="shared" si="19"/>
        <v>3.2238319088319083E-2</v>
      </c>
      <c r="D426">
        <v>-3.6700000000000003E-2</v>
      </c>
      <c r="E426">
        <v>-1.9599999999999999E-2</v>
      </c>
      <c r="F426">
        <v>-2.6000000000000003E-3</v>
      </c>
      <c r="G426">
        <v>-3.1300000000000001E-2</v>
      </c>
      <c r="I426">
        <v>9.6600000000000005E-2</v>
      </c>
      <c r="K426">
        <f t="shared" si="20"/>
        <v>9.293831908831908E-2</v>
      </c>
      <c r="L426">
        <f t="shared" si="18"/>
        <v>-7.2647700873299054E-2</v>
      </c>
    </row>
    <row r="427" spans="1:12">
      <c r="A427">
        <v>199807</v>
      </c>
      <c r="B427">
        <f>'10-T-weights5'!B423</f>
        <v>-2.06E-2</v>
      </c>
      <c r="C427">
        <f t="shared" si="19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4.5000000000000005E-3</v>
      </c>
      <c r="I427">
        <v>9.4000000000000004E-3</v>
      </c>
      <c r="K427">
        <f t="shared" si="20"/>
        <v>5.7383190883190782E-3</v>
      </c>
      <c r="L427">
        <f t="shared" si="18"/>
        <v>-8.7190791103161115E-3</v>
      </c>
    </row>
    <row r="428" spans="1:12">
      <c r="A428">
        <v>199808</v>
      </c>
      <c r="B428">
        <f>'10-T-weights5'!B424</f>
        <v>-0.1565</v>
      </c>
      <c r="C428">
        <f t="shared" si="19"/>
        <v>-0.16016168091168093</v>
      </c>
      <c r="D428">
        <v>-5.1700000000000003E-2</v>
      </c>
      <c r="E428">
        <v>3.6000000000000004E-2</v>
      </c>
      <c r="F428">
        <v>3.44E-2</v>
      </c>
      <c r="G428">
        <v>5.8900000000000001E-2</v>
      </c>
      <c r="I428">
        <v>-0.16890000000000002</v>
      </c>
      <c r="K428">
        <f t="shared" si="20"/>
        <v>-0.17256168091168095</v>
      </c>
      <c r="L428">
        <f t="shared" si="18"/>
        <v>1.0915898428623394E-2</v>
      </c>
    </row>
    <row r="429" spans="1:12">
      <c r="A429">
        <v>199809</v>
      </c>
      <c r="B429">
        <f>'10-T-weights5'!B425</f>
        <v>6.6100000000000006E-2</v>
      </c>
      <c r="C429">
        <f t="shared" si="19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20"/>
        <v>8.243831908831907E-2</v>
      </c>
      <c r="L429">
        <f t="shared" si="18"/>
        <v>-4.3251928993218829E-2</v>
      </c>
    </row>
    <row r="430" spans="1:12">
      <c r="A430">
        <v>199810</v>
      </c>
      <c r="B430">
        <f>'10-T-weights5'!B426</f>
        <v>7.4499999999999997E-2</v>
      </c>
      <c r="C430">
        <f t="shared" si="19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4.0999999999999995E-2</v>
      </c>
      <c r="K430">
        <f t="shared" si="20"/>
        <v>3.7338319088319076E-2</v>
      </c>
      <c r="L430">
        <f t="shared" si="18"/>
        <v>8.3023529674888685E-2</v>
      </c>
    </row>
    <row r="431" spans="1:12">
      <c r="A431">
        <v>199811</v>
      </c>
      <c r="B431">
        <f>'10-T-weights5'!B427</f>
        <v>6.4100000000000004E-2</v>
      </c>
      <c r="C431">
        <f t="shared" si="19"/>
        <v>6.0438319088319085E-2</v>
      </c>
      <c r="D431">
        <v>7.0999999999999995E-3</v>
      </c>
      <c r="E431">
        <v>-3.2300000000000002E-2</v>
      </c>
      <c r="F431">
        <v>-9.1000000000000004E-3</v>
      </c>
      <c r="G431">
        <v>-1.1399999999999999E-2</v>
      </c>
      <c r="I431">
        <v>7.5400000000000009E-2</v>
      </c>
      <c r="K431">
        <f t="shared" si="20"/>
        <v>7.1738319088319083E-2</v>
      </c>
      <c r="L431">
        <f t="shared" si="18"/>
        <v>3.1057371862413662E-2</v>
      </c>
    </row>
    <row r="432" spans="1:12">
      <c r="A432">
        <v>199812</v>
      </c>
      <c r="B432">
        <f>'10-T-weights5'!B428</f>
        <v>6.54E-2</v>
      </c>
      <c r="C432">
        <f t="shared" si="19"/>
        <v>6.1738319088319081E-2</v>
      </c>
      <c r="D432">
        <v>-1.5700000000000002E-2</v>
      </c>
      <c r="E432">
        <v>-4.1799999999999997E-2</v>
      </c>
      <c r="F432">
        <v>-7.6E-3</v>
      </c>
      <c r="G432">
        <v>-3.4100000000000005E-2</v>
      </c>
      <c r="I432">
        <v>0.13009999999999999</v>
      </c>
      <c r="K432">
        <f t="shared" si="20"/>
        <v>0.12643831908831907</v>
      </c>
      <c r="L432">
        <f t="shared" si="18"/>
        <v>-3.6696532425881674E-2</v>
      </c>
    </row>
    <row r="433" spans="1:12">
      <c r="A433">
        <v>199901</v>
      </c>
      <c r="B433">
        <f>'10-T-weights5'!B429</f>
        <v>3.8500000000000006E-2</v>
      </c>
      <c r="C433">
        <f t="shared" si="19"/>
        <v>3.4838319088319088E-2</v>
      </c>
      <c r="D433">
        <v>-7.3000000000000001E-3</v>
      </c>
      <c r="E433">
        <v>-4.6200000000000005E-2</v>
      </c>
      <c r="F433">
        <v>-2.7900000000000001E-2</v>
      </c>
      <c r="G433">
        <v>-6.7799999999999999E-2</v>
      </c>
      <c r="I433">
        <v>9.0500000000000011E-2</v>
      </c>
      <c r="K433">
        <f t="shared" si="20"/>
        <v>8.6838319088319085E-2</v>
      </c>
      <c r="L433">
        <f t="shared" si="18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9"/>
        <v>-4.0961680911680919E-2</v>
      </c>
      <c r="D434">
        <v>-5.2000000000000005E-2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20"/>
        <v>-5.046168091168092E-2</v>
      </c>
      <c r="L434">
        <f t="shared" si="18"/>
        <v>2.0171188439238458E-3</v>
      </c>
    </row>
    <row r="435" spans="1:12">
      <c r="A435">
        <v>199903</v>
      </c>
      <c r="B435">
        <f>'10-T-weights5'!B431</f>
        <v>3.8800000000000001E-2</v>
      </c>
      <c r="C435">
        <f t="shared" si="19"/>
        <v>3.5138319088319082E-2</v>
      </c>
      <c r="D435">
        <v>-4.2300000000000004E-2</v>
      </c>
      <c r="E435">
        <v>-2.7700000000000002E-2</v>
      </c>
      <c r="F435">
        <v>-4.0999999999999995E-2</v>
      </c>
      <c r="G435">
        <v>-1.41E-2</v>
      </c>
      <c r="I435">
        <v>5.7699999999999994E-2</v>
      </c>
      <c r="K435">
        <f t="shared" si="20"/>
        <v>5.4038319088319076E-2</v>
      </c>
      <c r="L435">
        <f t="shared" si="18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9"/>
        <v>4.3338319088319081E-2</v>
      </c>
      <c r="D436">
        <v>4.53E-2</v>
      </c>
      <c r="E436">
        <v>2.4100000000000003E-2</v>
      </c>
      <c r="F436">
        <v>-2.5499999999999998E-2</v>
      </c>
      <c r="G436">
        <v>9.300000000000001E-3</v>
      </c>
      <c r="I436">
        <v>-8.6999999999999994E-3</v>
      </c>
      <c r="K436">
        <f t="shared" si="20"/>
        <v>-1.2361680911680922E-2</v>
      </c>
      <c r="L436">
        <f t="shared" si="18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9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-3.0699999999999998E-2</v>
      </c>
      <c r="K437">
        <f t="shared" si="20"/>
        <v>-3.4361680911680917E-2</v>
      </c>
      <c r="L437">
        <f t="shared" si="18"/>
        <v>9.8015761366759421E-2</v>
      </c>
    </row>
    <row r="438" spans="1:12">
      <c r="A438">
        <v>199906</v>
      </c>
      <c r="B438">
        <f>'10-T-weights5'!B434</f>
        <v>5.1699999999999996E-2</v>
      </c>
      <c r="C438">
        <f t="shared" si="19"/>
        <v>4.8038319088319077E-2</v>
      </c>
      <c r="D438">
        <v>2.3E-2</v>
      </c>
      <c r="E438">
        <v>-3.27E-2</v>
      </c>
      <c r="F438">
        <v>1.1200000000000002E-2</v>
      </c>
      <c r="G438">
        <v>-3.2400000000000005E-2</v>
      </c>
      <c r="I438">
        <v>8.539999999999999E-2</v>
      </c>
      <c r="K438">
        <f t="shared" si="20"/>
        <v>8.1738319088319064E-2</v>
      </c>
      <c r="L438">
        <f t="shared" si="18"/>
        <v>1.1860718684576679E-2</v>
      </c>
    </row>
    <row r="439" spans="1:12">
      <c r="A439">
        <v>199907</v>
      </c>
      <c r="B439">
        <f>'10-T-weights5'!B435</f>
        <v>-3.1099999999999999E-2</v>
      </c>
      <c r="C439">
        <f t="shared" si="19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20"/>
        <v>-2.1861680911680923E-2</v>
      </c>
      <c r="L439">
        <f t="shared" si="18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9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20"/>
        <v>5.3383190883190788E-3</v>
      </c>
      <c r="L440">
        <f t="shared" si="18"/>
        <v>-4.9722504640354048E-3</v>
      </c>
    </row>
    <row r="441" spans="1:12">
      <c r="A441">
        <v>199909</v>
      </c>
      <c r="B441">
        <f>'10-T-weights5'!B437</f>
        <v>-2.4E-2</v>
      </c>
      <c r="C441">
        <f t="shared" si="19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20"/>
        <v>-1.4616809116809217E-3</v>
      </c>
      <c r="L441">
        <f t="shared" si="18"/>
        <v>-4.0690936837569545E-2</v>
      </c>
    </row>
    <row r="442" spans="1:12">
      <c r="A442">
        <v>199910</v>
      </c>
      <c r="B442">
        <f>'10-T-weights5'!B438</f>
        <v>6.5100000000000005E-2</v>
      </c>
      <c r="C442">
        <f t="shared" si="19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20"/>
        <v>6.2838319088319078E-2</v>
      </c>
      <c r="L442">
        <f t="shared" si="18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9"/>
        <v>3.3638319088319081E-2</v>
      </c>
      <c r="D443">
        <v>5.7999999999999996E-2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20"/>
        <v>0.10203831908831908</v>
      </c>
      <c r="L443">
        <f t="shared" si="18"/>
        <v>-2.9603994884801928E-2</v>
      </c>
    </row>
    <row r="444" spans="1:12">
      <c r="A444">
        <v>199912</v>
      </c>
      <c r="B444">
        <f>'10-T-weights5'!B440</f>
        <v>8.1600000000000006E-2</v>
      </c>
      <c r="C444">
        <f t="shared" si="19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-5.6100000000000004E-2</v>
      </c>
      <c r="I444">
        <v>0.21789999999999998</v>
      </c>
      <c r="K444">
        <f t="shared" si="20"/>
        <v>0.21423831908831906</v>
      </c>
      <c r="L444">
        <f t="shared" si="18"/>
        <v>-0.14328590950213879</v>
      </c>
    </row>
    <row r="445" spans="1:12">
      <c r="A445">
        <v>200001</v>
      </c>
      <c r="B445">
        <f>'10-T-weights5'!B441</f>
        <v>-4.3300000000000005E-2</v>
      </c>
      <c r="C445">
        <f t="shared" si="19"/>
        <v>-4.6961680911680924E-2</v>
      </c>
      <c r="D445">
        <v>4.4500000000000005E-2</v>
      </c>
      <c r="E445">
        <v>-1.89E-2</v>
      </c>
      <c r="F445">
        <v>-6.2899999999999998E-2</v>
      </c>
      <c r="G445">
        <v>4.7400000000000005E-2</v>
      </c>
      <c r="I445">
        <v>-2.7099999999999999E-2</v>
      </c>
      <c r="K445">
        <f t="shared" si="20"/>
        <v>-3.0761680911680921E-2</v>
      </c>
      <c r="L445">
        <f t="shared" si="18"/>
        <v>-1.050435619744633E-3</v>
      </c>
    </row>
    <row r="446" spans="1:12">
      <c r="A446">
        <v>200002</v>
      </c>
      <c r="B446">
        <f>'10-T-weights5'!B442</f>
        <v>2.8799999999999999E-2</v>
      </c>
      <c r="C446">
        <f t="shared" si="19"/>
        <v>2.5138319088319077E-2</v>
      </c>
      <c r="D446">
        <v>0.18379999999999999</v>
      </c>
      <c r="E446">
        <v>-9.8100000000000007E-2</v>
      </c>
      <c r="F446">
        <v>-0.18760000000000002</v>
      </c>
      <c r="G446">
        <v>-3.4999999999999996E-3</v>
      </c>
      <c r="I446">
        <v>0.20809999999999998</v>
      </c>
      <c r="K446">
        <f t="shared" si="20"/>
        <v>0.20443831908831905</v>
      </c>
      <c r="L446">
        <f t="shared" si="18"/>
        <v>-0.17090769221626601</v>
      </c>
    </row>
    <row r="447" spans="1:12">
      <c r="A447">
        <v>200003</v>
      </c>
      <c r="B447">
        <f>'10-T-weights5'!B443</f>
        <v>5.6700000000000007E-2</v>
      </c>
      <c r="C447">
        <f t="shared" si="19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20"/>
        <v>-1.0361680911680922E-2</v>
      </c>
      <c r="L447">
        <f t="shared" si="18"/>
        <v>9.3830078096415498E-2</v>
      </c>
    </row>
    <row r="448" spans="1:12">
      <c r="A448">
        <v>200004</v>
      </c>
      <c r="B448">
        <f>'10-T-weights5'!B444</f>
        <v>-5.9400000000000001E-2</v>
      </c>
      <c r="C448">
        <f t="shared" si="19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20"/>
        <v>-9.0261680911680922E-2</v>
      </c>
      <c r="L448">
        <f t="shared" si="18"/>
        <v>0.16665427104538388</v>
      </c>
    </row>
    <row r="449" spans="1:12">
      <c r="A449">
        <v>200005</v>
      </c>
      <c r="B449">
        <f>'10-T-weights5'!B445</f>
        <v>-3.9200000000000006E-2</v>
      </c>
      <c r="C449">
        <f t="shared" si="19"/>
        <v>-4.2861680911680924E-2</v>
      </c>
      <c r="D449">
        <v>-3.8700000000000005E-2</v>
      </c>
      <c r="E449">
        <v>4.8300000000000003E-2</v>
      </c>
      <c r="F449">
        <v>4.1799999999999997E-2</v>
      </c>
      <c r="G449">
        <v>1.3200000000000002E-2</v>
      </c>
      <c r="I449">
        <v>-0.1162</v>
      </c>
      <c r="K449">
        <f t="shared" si="20"/>
        <v>-0.11986168091168092</v>
      </c>
      <c r="L449">
        <f t="shared" si="18"/>
        <v>2.4592572113422563E-2</v>
      </c>
    </row>
    <row r="450" spans="1:12">
      <c r="A450">
        <v>200006</v>
      </c>
      <c r="B450">
        <f>'10-T-weights5'!B446</f>
        <v>5.04E-2</v>
      </c>
      <c r="C450">
        <f t="shared" si="19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20"/>
        <v>0.12863831908831908</v>
      </c>
      <c r="L450">
        <f t="shared" si="18"/>
        <v>-8.4090289417503794E-2</v>
      </c>
    </row>
    <row r="451" spans="1:12">
      <c r="A451">
        <v>200007</v>
      </c>
      <c r="B451">
        <f>'10-T-weights5'!B447</f>
        <v>-2.0299999999999999E-2</v>
      </c>
      <c r="C451">
        <f t="shared" si="19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-3.2400000000000005E-2</v>
      </c>
      <c r="K451">
        <f t="shared" si="20"/>
        <v>-3.6061680911680924E-2</v>
      </c>
      <c r="L451">
        <f t="shared" si="18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9"/>
        <v>7.163831908831908E-2</v>
      </c>
      <c r="D452">
        <v>-1.01E-2</v>
      </c>
      <c r="E452">
        <v>-1.3700000000000002E-2</v>
      </c>
      <c r="F452">
        <v>-3.0099999999999998E-2</v>
      </c>
      <c r="G452">
        <v>1.06E-2</v>
      </c>
      <c r="I452">
        <v>0.13869999999999999</v>
      </c>
      <c r="K452">
        <f t="shared" si="20"/>
        <v>0.13503831908831906</v>
      </c>
      <c r="L452">
        <f t="shared" si="18"/>
        <v>4.2135903789267327E-2</v>
      </c>
    </row>
    <row r="453" spans="1:12">
      <c r="A453">
        <v>200009</v>
      </c>
      <c r="B453">
        <f>'10-T-weights5'!B449</f>
        <v>-4.9399999999999999E-2</v>
      </c>
      <c r="C453">
        <f t="shared" si="19"/>
        <v>-5.3061680911680918E-2</v>
      </c>
      <c r="D453">
        <v>2.6000000000000003E-3</v>
      </c>
      <c r="E453">
        <v>7.17E-2</v>
      </c>
      <c r="F453">
        <v>2.8900000000000002E-2</v>
      </c>
      <c r="G453">
        <v>5.5599999999999997E-2</v>
      </c>
      <c r="I453">
        <v>-0.1178</v>
      </c>
      <c r="K453">
        <f t="shared" si="20"/>
        <v>-0.12146168091168093</v>
      </c>
      <c r="L453">
        <f t="shared" si="18"/>
        <v>0.12130506844091878</v>
      </c>
    </row>
    <row r="454" spans="1:12">
      <c r="A454">
        <v>200010</v>
      </c>
      <c r="B454">
        <f>'10-T-weights5'!B450</f>
        <v>-2.1999999999999999E-2</v>
      </c>
      <c r="C454">
        <f t="shared" si="19"/>
        <v>-2.5661680911680921E-2</v>
      </c>
      <c r="D454">
        <v>-2.7200000000000002E-2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20"/>
        <v>-7.9361680911680929E-2</v>
      </c>
      <c r="L454">
        <f t="shared" si="18"/>
        <v>0.20866383443835407</v>
      </c>
    </row>
    <row r="455" spans="1:12">
      <c r="A455">
        <v>200011</v>
      </c>
      <c r="B455">
        <f>'10-T-weights5'!B451</f>
        <v>-0.1021</v>
      </c>
      <c r="C455">
        <f t="shared" si="19"/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-0.24300000000000002</v>
      </c>
      <c r="K455">
        <f t="shared" si="20"/>
        <v>-0.24666168091168095</v>
      </c>
      <c r="L455">
        <f t="shared" ref="L455:L518" si="21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ref="C456:C519" si="22">B456-$H$3</f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5.9000000000000004E-2</v>
      </c>
      <c r="K456">
        <f t="shared" ref="K456:K519" si="23">I456-$H$3</f>
        <v>5.5338319088319085E-2</v>
      </c>
      <c r="L456">
        <f t="shared" si="21"/>
        <v>0.1776137733787132</v>
      </c>
    </row>
    <row r="457" spans="1:12">
      <c r="A457">
        <v>200101</v>
      </c>
      <c r="B457">
        <f>'10-T-weights5'!B453</f>
        <v>3.6700000000000003E-2</v>
      </c>
      <c r="C457">
        <f t="shared" si="22"/>
        <v>3.3038319088319085E-2</v>
      </c>
      <c r="D457">
        <v>5.45E-2</v>
      </c>
      <c r="E457">
        <v>-5.1100000000000007E-2</v>
      </c>
      <c r="F457">
        <v>-5.4600000000000003E-2</v>
      </c>
      <c r="G457">
        <v>-5.0499999999999996E-2</v>
      </c>
      <c r="I457">
        <v>-6.3899999999999998E-2</v>
      </c>
      <c r="K457">
        <f t="shared" si="23"/>
        <v>-6.7561680911680924E-2</v>
      </c>
      <c r="L457">
        <f t="shared" si="21"/>
        <v>-0.14553373573769601</v>
      </c>
    </row>
    <row r="458" spans="1:12">
      <c r="A458">
        <v>200102</v>
      </c>
      <c r="B458">
        <f>'10-T-weights5'!B454</f>
        <v>-9.6700000000000008E-2</v>
      </c>
      <c r="C458">
        <f t="shared" si="22"/>
        <v>-0.10036168091168093</v>
      </c>
      <c r="D458">
        <v>2.7900000000000001E-2</v>
      </c>
      <c r="E458">
        <v>0.12480000000000001</v>
      </c>
      <c r="F458">
        <v>9.1199999999999989E-2</v>
      </c>
      <c r="G458">
        <v>9.06E-2</v>
      </c>
      <c r="I458">
        <v>-4.58E-2</v>
      </c>
      <c r="K458">
        <f t="shared" si="23"/>
        <v>-4.9461680911680919E-2</v>
      </c>
      <c r="L458">
        <f t="shared" si="21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2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3"/>
        <v>-3.2861680911680922E-2</v>
      </c>
      <c r="L459">
        <f t="shared" si="21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2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5.6799999999999996E-2</v>
      </c>
      <c r="K460">
        <f t="shared" si="23"/>
        <v>5.3138319088319078E-2</v>
      </c>
      <c r="L460">
        <f t="shared" si="21"/>
        <v>-5.6820422859745215E-2</v>
      </c>
    </row>
    <row r="461" spans="1:12">
      <c r="A461">
        <v>200105</v>
      </c>
      <c r="B461">
        <f>'10-T-weights5'!B457</f>
        <v>1.04E-2</v>
      </c>
      <c r="C461">
        <f t="shared" si="22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3"/>
        <v>2.9338319088319079E-2</v>
      </c>
      <c r="L461">
        <f t="shared" si="21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2"/>
        <v>-2.0261680911680922E-2</v>
      </c>
      <c r="D462">
        <v>6.5700000000000008E-2</v>
      </c>
      <c r="E462">
        <v>-1.1299999999999999E-2</v>
      </c>
      <c r="F462">
        <v>1.2700000000000001E-2</v>
      </c>
      <c r="G462">
        <v>-1.5100000000000001E-2</v>
      </c>
      <c r="I462">
        <v>9.7999999999999997E-3</v>
      </c>
      <c r="K462">
        <f t="shared" si="23"/>
        <v>6.1383190883190775E-3</v>
      </c>
      <c r="L462">
        <f t="shared" si="21"/>
        <v>1.2565642909033184E-2</v>
      </c>
    </row>
    <row r="463" spans="1:12">
      <c r="A463">
        <v>200107</v>
      </c>
      <c r="B463">
        <f>'10-T-weights5'!B459</f>
        <v>-1.83E-2</v>
      </c>
      <c r="C463">
        <f t="shared" si="22"/>
        <v>-2.1961680911680923E-2</v>
      </c>
      <c r="D463">
        <v>-2.8300000000000002E-2</v>
      </c>
      <c r="E463">
        <v>5.21E-2</v>
      </c>
      <c r="F463">
        <v>7.4200000000000002E-2</v>
      </c>
      <c r="G463">
        <v>3.04E-2</v>
      </c>
      <c r="I463">
        <v>-2.7999999999999997E-2</v>
      </c>
      <c r="K463">
        <f t="shared" si="23"/>
        <v>-3.1661680911680916E-2</v>
      </c>
      <c r="L463">
        <f t="shared" si="21"/>
        <v>0.15730906326584193</v>
      </c>
    </row>
    <row r="464" spans="1:12">
      <c r="A464">
        <v>200108</v>
      </c>
      <c r="B464">
        <f>'10-T-weights5'!B460</f>
        <v>-6.1500000000000006E-2</v>
      </c>
      <c r="C464">
        <f t="shared" si="22"/>
        <v>-6.5161680911680925E-2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3"/>
        <v>-3.8561680911680919E-2</v>
      </c>
      <c r="L464">
        <f t="shared" si="21"/>
        <v>0.19401278606895273</v>
      </c>
    </row>
    <row r="465" spans="1:12">
      <c r="A465">
        <v>200109</v>
      </c>
      <c r="B465">
        <f>'10-T-weights5'!B461</f>
        <v>-8.9700000000000002E-2</v>
      </c>
      <c r="C465">
        <f t="shared" si="22"/>
        <v>-9.3361680911680928E-2</v>
      </c>
      <c r="D465">
        <v>-5.7300000000000004E-2</v>
      </c>
      <c r="E465">
        <v>1.46E-2</v>
      </c>
      <c r="F465">
        <v>5.0300000000000004E-2</v>
      </c>
      <c r="G465">
        <v>3.2199999999999999E-2</v>
      </c>
      <c r="I465">
        <v>-7.4400000000000008E-2</v>
      </c>
      <c r="K465">
        <f t="shared" si="23"/>
        <v>-7.8061680911680933E-2</v>
      </c>
      <c r="L465">
        <f t="shared" si="21"/>
        <v>4.1489712798007505E-2</v>
      </c>
    </row>
    <row r="466" spans="1:12">
      <c r="A466">
        <v>200110</v>
      </c>
      <c r="B466">
        <f>'10-T-weights5'!B462</f>
        <v>2.6800000000000001E-2</v>
      </c>
      <c r="C466">
        <f t="shared" si="22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3"/>
        <v>6.338319088319078E-3</v>
      </c>
      <c r="L466">
        <f t="shared" si="21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2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3"/>
        <v>4.473831908831908E-2</v>
      </c>
      <c r="L467">
        <f t="shared" si="21"/>
        <v>-5.1738688952278442E-2</v>
      </c>
    </row>
    <row r="468" spans="1:12">
      <c r="A468">
        <v>200112</v>
      </c>
      <c r="B468">
        <f>'10-T-weights5'!B464</f>
        <v>1.7500000000000002E-2</v>
      </c>
      <c r="C468">
        <f t="shared" si="22"/>
        <v>1.3838319088319079E-2</v>
      </c>
      <c r="D468">
        <v>5.16E-2</v>
      </c>
      <c r="E468">
        <v>8.5000000000000006E-3</v>
      </c>
      <c r="F468">
        <v>3.4999999999999996E-3</v>
      </c>
      <c r="G468">
        <v>-2.8000000000000004E-3</v>
      </c>
      <c r="I468">
        <v>4.8399999999999999E-2</v>
      </c>
      <c r="K468">
        <f t="shared" si="23"/>
        <v>4.473831908831908E-2</v>
      </c>
      <c r="L468">
        <f t="shared" si="21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2"/>
        <v>-1.666168091168092E-2</v>
      </c>
      <c r="D469">
        <v>1.2500000000000001E-2</v>
      </c>
      <c r="E469">
        <v>3.44E-2</v>
      </c>
      <c r="F469">
        <v>4.6900000000000004E-2</v>
      </c>
      <c r="G469">
        <v>2.8500000000000001E-2</v>
      </c>
      <c r="I469">
        <v>-2.3E-3</v>
      </c>
      <c r="K469">
        <f t="shared" si="23"/>
        <v>-5.9616809116809222E-3</v>
      </c>
      <c r="L469">
        <f t="shared" si="21"/>
        <v>0.14130675805307324</v>
      </c>
    </row>
    <row r="470" spans="1:12">
      <c r="A470">
        <v>200202</v>
      </c>
      <c r="B470">
        <f>'10-T-weights5'!B466</f>
        <v>-2.1600000000000001E-2</v>
      </c>
      <c r="C470">
        <f t="shared" si="22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3"/>
        <v>-2.2961680911680923E-2</v>
      </c>
      <c r="L470">
        <f t="shared" si="21"/>
        <v>0.24978654843658057</v>
      </c>
    </row>
    <row r="471" spans="1:12">
      <c r="A471">
        <v>200203</v>
      </c>
      <c r="B471">
        <f>'10-T-weights5'!B467</f>
        <v>4.3700000000000003E-2</v>
      </c>
      <c r="C471">
        <f t="shared" si="22"/>
        <v>4.0038319088319084E-2</v>
      </c>
      <c r="D471">
        <v>4.24E-2</v>
      </c>
      <c r="E471">
        <v>1.0700000000000001E-2</v>
      </c>
      <c r="F471">
        <v>-1.78E-2</v>
      </c>
      <c r="G471">
        <v>5.8999999999999999E-3</v>
      </c>
      <c r="I471">
        <v>5.9000000000000004E-2</v>
      </c>
      <c r="K471">
        <f t="shared" si="23"/>
        <v>5.5338319088319085E-2</v>
      </c>
      <c r="L471">
        <f t="shared" si="21"/>
        <v>4.6791232308122939E-2</v>
      </c>
    </row>
    <row r="472" spans="1:12">
      <c r="A472">
        <v>200204</v>
      </c>
      <c r="B472">
        <f>'10-T-weights5'!B468</f>
        <v>-5.0500000000000003E-2</v>
      </c>
      <c r="C472">
        <f t="shared" si="22"/>
        <v>-5.4161680911680922E-2</v>
      </c>
      <c r="D472">
        <v>6.7300000000000013E-2</v>
      </c>
      <c r="E472">
        <v>3.8800000000000001E-2</v>
      </c>
      <c r="F472">
        <v>4.5899999999999996E-2</v>
      </c>
      <c r="G472">
        <v>5.3700000000000005E-2</v>
      </c>
      <c r="I472">
        <v>-4.3E-3</v>
      </c>
      <c r="K472">
        <f t="shared" si="23"/>
        <v>-7.9616809116809222E-3</v>
      </c>
      <c r="L472">
        <f t="shared" si="21"/>
        <v>0.20420015210154491</v>
      </c>
    </row>
    <row r="473" spans="1:12">
      <c r="A473">
        <v>200205</v>
      </c>
      <c r="B473">
        <f>'10-T-weights5'!B469</f>
        <v>-1.24E-2</v>
      </c>
      <c r="C473">
        <f t="shared" si="22"/>
        <v>-1.606168091168092E-2</v>
      </c>
      <c r="D473">
        <v>-3.0200000000000001E-2</v>
      </c>
      <c r="E473">
        <v>1.5300000000000001E-2</v>
      </c>
      <c r="F473">
        <v>2.35E-2</v>
      </c>
      <c r="G473">
        <v>2.4199999999999999E-2</v>
      </c>
      <c r="I473">
        <v>-2.46E-2</v>
      </c>
      <c r="K473">
        <f t="shared" si="23"/>
        <v>-2.8261680911680923E-2</v>
      </c>
      <c r="L473">
        <f t="shared" si="21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2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2.5099999999999997E-2</v>
      </c>
      <c r="I474">
        <v>-3.44E-2</v>
      </c>
      <c r="K474">
        <f t="shared" si="23"/>
        <v>-3.8061680911680919E-2</v>
      </c>
      <c r="L474">
        <f t="shared" si="21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2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3"/>
        <v>-0.12216168091168092</v>
      </c>
      <c r="L475">
        <f t="shared" si="21"/>
        <v>-6.85326142402502E-2</v>
      </c>
    </row>
    <row r="476" spans="1:12">
      <c r="A476">
        <v>200208</v>
      </c>
      <c r="B476">
        <f>'10-T-weights5'!B472</f>
        <v>6.4000000000000003E-3</v>
      </c>
      <c r="C476">
        <f t="shared" si="22"/>
        <v>2.7383190883190785E-3</v>
      </c>
      <c r="D476">
        <v>-1.3200000000000002E-2</v>
      </c>
      <c r="E476">
        <v>3.3100000000000004E-2</v>
      </c>
      <c r="F476">
        <v>1.34E-2</v>
      </c>
      <c r="G476">
        <v>-1.4199999999999999E-2</v>
      </c>
      <c r="I476">
        <v>1.3999999999999999E-2</v>
      </c>
      <c r="K476">
        <f t="shared" si="23"/>
        <v>1.0338319088319076E-2</v>
      </c>
      <c r="L476">
        <f t="shared" si="21"/>
        <v>-3.224327851665746E-2</v>
      </c>
    </row>
    <row r="477" spans="1:12">
      <c r="A477">
        <v>200209</v>
      </c>
      <c r="B477">
        <f>'10-T-weights5'!B473</f>
        <v>-0.1021</v>
      </c>
      <c r="C477">
        <f t="shared" si="22"/>
        <v>-0.10576168091168092</v>
      </c>
      <c r="D477">
        <v>3.1000000000000003E-2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3"/>
        <v>-3.4761680911680921E-2</v>
      </c>
      <c r="L477">
        <f t="shared" si="21"/>
        <v>-8.8481092226366326E-2</v>
      </c>
    </row>
    <row r="478" spans="1:12">
      <c r="A478">
        <v>200210</v>
      </c>
      <c r="B478">
        <f>'10-T-weights5'!B474</f>
        <v>7.9799999999999996E-2</v>
      </c>
      <c r="C478">
        <f t="shared" si="22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7.8000000000000005E-3</v>
      </c>
      <c r="I478">
        <v>5.0900000000000001E-2</v>
      </c>
      <c r="K478">
        <f t="shared" si="23"/>
        <v>4.7238319088319082E-2</v>
      </c>
      <c r="L478">
        <f t="shared" si="21"/>
        <v>2.0804751753526807E-2</v>
      </c>
    </row>
    <row r="479" spans="1:12">
      <c r="A479">
        <v>200211</v>
      </c>
      <c r="B479">
        <f>'10-T-weights5'!B475</f>
        <v>6.08E-2</v>
      </c>
      <c r="C479">
        <f t="shared" si="22"/>
        <v>5.7138319088319081E-2</v>
      </c>
      <c r="D479">
        <v>2.9500000000000002E-2</v>
      </c>
      <c r="E479">
        <v>-1.2700000000000001E-2</v>
      </c>
      <c r="F479">
        <v>-9.1899999999999996E-2</v>
      </c>
      <c r="G479">
        <v>5.1500000000000004E-2</v>
      </c>
      <c r="I479">
        <v>2.2499999999999999E-2</v>
      </c>
      <c r="K479">
        <f t="shared" si="23"/>
        <v>1.8838319088319077E-2</v>
      </c>
      <c r="L479">
        <f t="shared" si="21"/>
        <v>4.6960408832174796E-2</v>
      </c>
    </row>
    <row r="480" spans="1:12">
      <c r="A480">
        <v>200212</v>
      </c>
      <c r="B480">
        <f>'10-T-weights5'!B476</f>
        <v>-5.6500000000000002E-2</v>
      </c>
      <c r="C480">
        <f t="shared" si="22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3"/>
        <v>-2.1461680911680922E-2</v>
      </c>
      <c r="L480">
        <f t="shared" si="21"/>
        <v>8.0524092353701157E-3</v>
      </c>
    </row>
    <row r="481" spans="1:12">
      <c r="A481">
        <v>200301</v>
      </c>
      <c r="B481">
        <f>'10-T-weights5'!B477</f>
        <v>-2.47E-2</v>
      </c>
      <c r="C481">
        <f t="shared" si="22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3"/>
        <v>-1.3761680911680922E-2</v>
      </c>
      <c r="L481">
        <f t="shared" si="21"/>
        <v>-1.9965968011439839E-2</v>
      </c>
    </row>
    <row r="482" spans="1:12">
      <c r="A482">
        <v>200302</v>
      </c>
      <c r="B482">
        <f>'10-T-weights5'!B478</f>
        <v>-1.7899999999999999E-2</v>
      </c>
      <c r="C482">
        <f t="shared" si="22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3"/>
        <v>1.3831908831907821E-4</v>
      </c>
      <c r="L482">
        <f t="shared" si="21"/>
        <v>-2.2177483877625546E-2</v>
      </c>
    </row>
    <row r="483" spans="1:12">
      <c r="A483">
        <v>200303</v>
      </c>
      <c r="B483">
        <f>'10-T-weights5'!B479</f>
        <v>1.1900000000000001E-2</v>
      </c>
      <c r="C483">
        <f t="shared" si="22"/>
        <v>8.2383190883190786E-3</v>
      </c>
      <c r="D483">
        <v>6.8000000000000005E-3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3"/>
        <v>3.4638319088319082E-2</v>
      </c>
      <c r="L483">
        <f t="shared" si="21"/>
        <v>3.5508287937599373E-2</v>
      </c>
    </row>
    <row r="484" spans="1:12">
      <c r="A484">
        <v>200304</v>
      </c>
      <c r="B484">
        <f>'10-T-weights5'!B480</f>
        <v>8.320000000000001E-2</v>
      </c>
      <c r="C484">
        <f t="shared" si="22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4.6200000000000005E-2</v>
      </c>
      <c r="K484">
        <f t="shared" si="23"/>
        <v>4.2538319088319086E-2</v>
      </c>
      <c r="L484">
        <f t="shared" si="21"/>
        <v>2.316141633422061E-2</v>
      </c>
    </row>
    <row r="485" spans="1:12">
      <c r="A485">
        <v>200305</v>
      </c>
      <c r="B485">
        <f>'10-T-weights5'!B481</f>
        <v>6.1399999999999996E-2</v>
      </c>
      <c r="C485">
        <f t="shared" si="22"/>
        <v>5.7738319088319077E-2</v>
      </c>
      <c r="D485">
        <v>4.8499999999999995E-2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3"/>
        <v>6.7138319088319076E-2</v>
      </c>
      <c r="L485">
        <f t="shared" si="21"/>
        <v>3.722863391917125E-2</v>
      </c>
    </row>
    <row r="486" spans="1:12">
      <c r="A486">
        <v>200306</v>
      </c>
      <c r="B486">
        <f>'10-T-weights5'!B482</f>
        <v>1.5199999999999998E-2</v>
      </c>
      <c r="C486">
        <f t="shared" si="22"/>
        <v>1.1538319088319076E-2</v>
      </c>
      <c r="D486">
        <v>1.66E-2</v>
      </c>
      <c r="E486">
        <v>1.9E-3</v>
      </c>
      <c r="F486">
        <v>4.4000000000000003E-3</v>
      </c>
      <c r="G486">
        <v>-3.4000000000000002E-3</v>
      </c>
      <c r="I486">
        <v>1.67E-2</v>
      </c>
      <c r="K486">
        <f t="shared" si="23"/>
        <v>1.3038319088319077E-2</v>
      </c>
      <c r="L486">
        <f t="shared" si="21"/>
        <v>2.1236204103777974E-2</v>
      </c>
    </row>
    <row r="487" spans="1:12">
      <c r="A487">
        <v>200307</v>
      </c>
      <c r="B487">
        <f>'10-T-weights5'!B483</f>
        <v>2.4199999999999999E-2</v>
      </c>
      <c r="C487">
        <f t="shared" si="22"/>
        <v>2.0538319088319077E-2</v>
      </c>
      <c r="D487">
        <v>4.58E-2</v>
      </c>
      <c r="E487">
        <v>-1.1899999999999999E-2</v>
      </c>
      <c r="F487">
        <v>-4.2300000000000004E-2</v>
      </c>
      <c r="G487">
        <v>1.8500000000000003E-2</v>
      </c>
      <c r="I487">
        <v>3.44E-2</v>
      </c>
      <c r="K487">
        <f t="shared" si="23"/>
        <v>3.0738319088319078E-2</v>
      </c>
      <c r="L487">
        <f t="shared" si="21"/>
        <v>2.634396018003396E-2</v>
      </c>
    </row>
    <row r="488" spans="1:12">
      <c r="A488">
        <v>200308</v>
      </c>
      <c r="B488">
        <f>'10-T-weights5'!B484</f>
        <v>2.41E-2</v>
      </c>
      <c r="C488">
        <f t="shared" si="22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3"/>
        <v>3.6938319088319078E-2</v>
      </c>
      <c r="L488">
        <f t="shared" si="21"/>
        <v>4.6449221471710482E-2</v>
      </c>
    </row>
    <row r="489" spans="1:12">
      <c r="A489">
        <v>200309</v>
      </c>
      <c r="B489">
        <f>'10-T-weights5'!B485</f>
        <v>-1.1599999999999999E-2</v>
      </c>
      <c r="C489">
        <f t="shared" si="22"/>
        <v>-1.5261680911680921E-2</v>
      </c>
      <c r="D489">
        <v>5.5000000000000005E-3</v>
      </c>
      <c r="E489">
        <v>1E-3</v>
      </c>
      <c r="F489">
        <v>1.06E-2</v>
      </c>
      <c r="G489">
        <v>3.4000000000000002E-3</v>
      </c>
      <c r="I489">
        <v>-1.47E-2</v>
      </c>
      <c r="K489">
        <f t="shared" si="23"/>
        <v>-1.836168091168092E-2</v>
      </c>
      <c r="L489">
        <f t="shared" si="21"/>
        <v>1.6929612293741264E-2</v>
      </c>
    </row>
    <row r="490" spans="1:12">
      <c r="A490">
        <v>200310</v>
      </c>
      <c r="B490">
        <f>'10-T-weights5'!B486</f>
        <v>6.1499999999999999E-2</v>
      </c>
      <c r="C490">
        <f t="shared" si="22"/>
        <v>5.783831908831908E-2</v>
      </c>
      <c r="D490">
        <v>2.6700000000000002E-2</v>
      </c>
      <c r="E490">
        <v>1.9199999999999998E-2</v>
      </c>
      <c r="F490">
        <v>-1.3000000000000001E-2</v>
      </c>
      <c r="G490">
        <v>1.4800000000000001E-2</v>
      </c>
      <c r="I490">
        <v>0.1177</v>
      </c>
      <c r="K490">
        <f t="shared" si="23"/>
        <v>0.11403831908831907</v>
      </c>
      <c r="L490">
        <f t="shared" si="21"/>
        <v>8.3106795885565202E-2</v>
      </c>
    </row>
    <row r="491" spans="1:12">
      <c r="A491">
        <v>200311</v>
      </c>
      <c r="B491">
        <f>'10-T-weights5'!B487</f>
        <v>1.4200000000000001E-2</v>
      </c>
      <c r="C491">
        <f t="shared" si="22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3"/>
        <v>2.813831908831908E-2</v>
      </c>
      <c r="L491">
        <f t="shared" si="21"/>
        <v>6.8745550202823538E-2</v>
      </c>
    </row>
    <row r="492" spans="1:12">
      <c r="A492">
        <v>200312</v>
      </c>
      <c r="B492">
        <f>'10-T-weights5'!B488</f>
        <v>4.3700000000000003E-2</v>
      </c>
      <c r="C492">
        <f t="shared" si="22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-1.2700000000000001E-2</v>
      </c>
      <c r="K492">
        <f t="shared" si="23"/>
        <v>-1.6361680911680922E-2</v>
      </c>
      <c r="L492">
        <f t="shared" si="21"/>
        <v>5.1156770483683105E-2</v>
      </c>
    </row>
    <row r="493" spans="1:12">
      <c r="A493">
        <v>200401</v>
      </c>
      <c r="B493">
        <f>'10-T-weights5'!B489</f>
        <v>2.2199999999999998E-2</v>
      </c>
      <c r="C493">
        <f t="shared" si="22"/>
        <v>1.8538319088319075E-2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3.7000000000000005E-2</v>
      </c>
      <c r="K493">
        <f t="shared" si="23"/>
        <v>3.3338319088319086E-2</v>
      </c>
      <c r="L493">
        <f t="shared" si="21"/>
        <v>4.6577502694392196E-2</v>
      </c>
    </row>
    <row r="494" spans="1:12">
      <c r="A494">
        <v>200402</v>
      </c>
      <c r="B494">
        <f>'10-T-weights5'!B490</f>
        <v>1.4599999999999998E-2</v>
      </c>
      <c r="C494">
        <f t="shared" si="22"/>
        <v>1.0938319088319076E-2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3"/>
        <v>-5.561680911680922E-3</v>
      </c>
      <c r="L494">
        <f t="shared" si="21"/>
        <v>9.3065392237489802E-3</v>
      </c>
    </row>
    <row r="495" spans="1:12">
      <c r="A495">
        <v>200403</v>
      </c>
      <c r="B495">
        <f>'10-T-weights5'!B491</f>
        <v>-1.2300000000000002E-2</v>
      </c>
      <c r="C495">
        <f t="shared" si="22"/>
        <v>-1.5961680911680924E-2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3"/>
        <v>-1.836168091168092E-2</v>
      </c>
      <c r="L495">
        <f t="shared" si="21"/>
        <v>1.341727460115863E-3</v>
      </c>
    </row>
    <row r="496" spans="1:12">
      <c r="A496">
        <v>200404</v>
      </c>
      <c r="B496">
        <f>'10-T-weights5'!B492</f>
        <v>-1.7500000000000002E-2</v>
      </c>
      <c r="C496">
        <f t="shared" si="22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3"/>
        <v>-8.1561680911680923E-2</v>
      </c>
      <c r="L496">
        <f t="shared" si="21"/>
        <v>-3.2191246332860628E-2</v>
      </c>
    </row>
    <row r="497" spans="1:12">
      <c r="A497">
        <v>200405</v>
      </c>
      <c r="B497">
        <f>'10-T-weights5'!B493</f>
        <v>1.23E-2</v>
      </c>
      <c r="C497">
        <f t="shared" si="22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3"/>
        <v>2.3838319088319078E-2</v>
      </c>
      <c r="L497">
        <f t="shared" si="21"/>
        <v>-1.4804250114140426E-2</v>
      </c>
    </row>
    <row r="498" spans="1:12">
      <c r="A498">
        <v>200406</v>
      </c>
      <c r="B498">
        <f>'10-T-weights5'!B494</f>
        <v>1.9400000000000001E-2</v>
      </c>
      <c r="C498">
        <f t="shared" si="22"/>
        <v>1.5738319088319078E-2</v>
      </c>
      <c r="D498">
        <v>2.5700000000000001E-2</v>
      </c>
      <c r="E498">
        <v>1.23E-2</v>
      </c>
      <c r="F498">
        <v>1.1899999999999999E-2</v>
      </c>
      <c r="G498">
        <v>-3.8E-3</v>
      </c>
      <c r="I498">
        <v>1.7899999999999999E-2</v>
      </c>
      <c r="K498">
        <f t="shared" si="23"/>
        <v>1.4238319088319077E-2</v>
      </c>
      <c r="L498">
        <f t="shared" si="21"/>
        <v>4.0367293983037601E-2</v>
      </c>
    </row>
    <row r="499" spans="1:12">
      <c r="A499">
        <v>200407</v>
      </c>
      <c r="B499">
        <f>'10-T-weights5'!B495</f>
        <v>-3.9599999999999996E-2</v>
      </c>
      <c r="C499">
        <f t="shared" si="22"/>
        <v>-4.3261680911680915E-2</v>
      </c>
      <c r="D499">
        <v>-2.9399999999999999E-2</v>
      </c>
      <c r="E499">
        <v>3.2199999999999999E-2</v>
      </c>
      <c r="F499">
        <v>5.3099999999999994E-2</v>
      </c>
      <c r="G499">
        <v>-1.66E-2</v>
      </c>
      <c r="I499">
        <v>-8.7400000000000005E-2</v>
      </c>
      <c r="K499">
        <f t="shared" si="23"/>
        <v>-9.1061680911680931E-2</v>
      </c>
      <c r="L499">
        <f t="shared" si="21"/>
        <v>-2.0918387826175798E-2</v>
      </c>
    </row>
    <row r="500" spans="1:12">
      <c r="A500">
        <v>200408</v>
      </c>
      <c r="B500">
        <f>'10-T-weights5'!B496</f>
        <v>1.9000000000000002E-3</v>
      </c>
      <c r="C500">
        <f t="shared" si="22"/>
        <v>-1.7616809116809216E-3</v>
      </c>
      <c r="D500">
        <v>-1.15E-2</v>
      </c>
      <c r="E500">
        <v>0.01</v>
      </c>
      <c r="F500">
        <v>1.24E-2</v>
      </c>
      <c r="G500">
        <v>-1.44E-2</v>
      </c>
      <c r="I500">
        <v>-2.1400000000000002E-2</v>
      </c>
      <c r="K500">
        <f t="shared" si="23"/>
        <v>-2.5061680911680925E-2</v>
      </c>
      <c r="L500">
        <f t="shared" si="21"/>
        <v>-2.8625655981667286E-2</v>
      </c>
    </row>
    <row r="501" spans="1:12">
      <c r="A501">
        <v>200409</v>
      </c>
      <c r="B501">
        <f>'10-T-weights5'!B497</f>
        <v>1.7100000000000001E-2</v>
      </c>
      <c r="C501">
        <f t="shared" si="22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3"/>
        <v>6.983831908831907E-2</v>
      </c>
      <c r="L501">
        <f t="shared" si="21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2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3"/>
        <v>1.5638319088319079E-2</v>
      </c>
      <c r="L502">
        <f t="shared" si="21"/>
        <v>1.7874313359946433E-2</v>
      </c>
    </row>
    <row r="503" spans="1:12">
      <c r="A503">
        <v>200411</v>
      </c>
      <c r="B503">
        <f>'10-T-weights5'!B499</f>
        <v>4.6900000000000004E-2</v>
      </c>
      <c r="C503">
        <f t="shared" si="22"/>
        <v>4.3238319088319085E-2</v>
      </c>
      <c r="D503">
        <v>4.1100000000000005E-2</v>
      </c>
      <c r="E503">
        <v>1.4499999999999999E-2</v>
      </c>
      <c r="F503">
        <v>-5.8999999999999999E-3</v>
      </c>
      <c r="G503">
        <v>-2.0999999999999999E-3</v>
      </c>
      <c r="I503">
        <v>9.8800000000000013E-2</v>
      </c>
      <c r="K503">
        <f t="shared" si="23"/>
        <v>9.5138319088319087E-2</v>
      </c>
      <c r="L503">
        <f t="shared" si="21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2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3"/>
        <v>1.7238319088319076E-2</v>
      </c>
      <c r="L504">
        <f t="shared" si="21"/>
        <v>2.3059202763838306E-2</v>
      </c>
    </row>
    <row r="505" spans="1:12">
      <c r="A505">
        <v>200501</v>
      </c>
      <c r="B505">
        <f>'10-T-weights5'!B501</f>
        <v>-2.5999999999999999E-2</v>
      </c>
      <c r="C505">
        <f t="shared" si="22"/>
        <v>-2.9661680911680921E-2</v>
      </c>
      <c r="D505">
        <v>-1.18E-2</v>
      </c>
      <c r="E505">
        <v>2.07E-2</v>
      </c>
      <c r="F505">
        <v>2.7200000000000002E-2</v>
      </c>
      <c r="G505">
        <v>-1.46E-2</v>
      </c>
      <c r="I505">
        <v>-4.1100000000000005E-2</v>
      </c>
      <c r="K505">
        <f t="shared" si="23"/>
        <v>-4.4761680911680923E-2</v>
      </c>
      <c r="L505">
        <f t="shared" si="21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2"/>
        <v>1.6838319088319079E-2</v>
      </c>
      <c r="D506">
        <v>-3.0000000000000001E-3</v>
      </c>
      <c r="E506">
        <v>1.54E-2</v>
      </c>
      <c r="F506">
        <v>1.4199999999999999E-2</v>
      </c>
      <c r="G506">
        <v>-5.0000000000000001E-4</v>
      </c>
      <c r="I506">
        <v>5.4600000000000003E-2</v>
      </c>
      <c r="K506">
        <f t="shared" si="23"/>
        <v>5.0938319088319084E-2</v>
      </c>
      <c r="L506">
        <f t="shared" si="21"/>
        <v>3.3813166075613972E-2</v>
      </c>
    </row>
    <row r="507" spans="1:12">
      <c r="A507">
        <v>200503</v>
      </c>
      <c r="B507">
        <f>'10-T-weights5'!B503</f>
        <v>-1.7599999999999998E-2</v>
      </c>
      <c r="C507">
        <f t="shared" si="22"/>
        <v>-2.126168091168092E-2</v>
      </c>
      <c r="D507">
        <v>-1.4199999999999999E-2</v>
      </c>
      <c r="E507">
        <v>2.0499999999999997E-2</v>
      </c>
      <c r="F507">
        <v>4.5000000000000005E-3</v>
      </c>
      <c r="G507">
        <v>1.29E-2</v>
      </c>
      <c r="I507">
        <v>-1.6E-2</v>
      </c>
      <c r="K507">
        <f t="shared" si="23"/>
        <v>-1.9661680911680923E-2</v>
      </c>
      <c r="L507">
        <f t="shared" si="21"/>
        <v>3.4605016434659172E-3</v>
      </c>
    </row>
    <row r="508" spans="1:12">
      <c r="A508">
        <v>200504</v>
      </c>
      <c r="B508">
        <f>'10-T-weights5'!B504</f>
        <v>-2.3999999999999997E-2</v>
      </c>
      <c r="C508">
        <f t="shared" si="22"/>
        <v>-2.7661680911680919E-2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3"/>
        <v>-6.8361680911680919E-2</v>
      </c>
      <c r="L508">
        <f t="shared" si="21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2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3"/>
        <v>6.1838319088319084E-2</v>
      </c>
      <c r="L509">
        <f t="shared" si="21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2"/>
        <v>4.3383190883190779E-3</v>
      </c>
      <c r="D510">
        <v>3.2799999999999996E-2</v>
      </c>
      <c r="E510">
        <v>2.81E-2</v>
      </c>
      <c r="F510">
        <v>9.5999999999999992E-3</v>
      </c>
      <c r="G510">
        <v>-5.2000000000000006E-3</v>
      </c>
      <c r="I510">
        <v>5.5700000000000006E-2</v>
      </c>
      <c r="K510">
        <f t="shared" si="23"/>
        <v>5.2038319088319088E-2</v>
      </c>
      <c r="L510">
        <f t="shared" si="21"/>
        <v>1.9353060633335865E-2</v>
      </c>
    </row>
    <row r="511" spans="1:12">
      <c r="A511">
        <v>200507</v>
      </c>
      <c r="B511">
        <f>'10-T-weights5'!B507</f>
        <v>4.1599999999999998E-2</v>
      </c>
      <c r="C511">
        <f t="shared" si="22"/>
        <v>3.7938319088319079E-2</v>
      </c>
      <c r="D511">
        <v>2.7900000000000001E-2</v>
      </c>
      <c r="E511">
        <v>-7.8000000000000005E-3</v>
      </c>
      <c r="F511">
        <v>-1.23E-2</v>
      </c>
      <c r="G511">
        <v>-8.1000000000000013E-3</v>
      </c>
      <c r="I511">
        <v>6.0400000000000002E-2</v>
      </c>
      <c r="K511">
        <f t="shared" si="23"/>
        <v>5.6738319088319084E-2</v>
      </c>
      <c r="L511">
        <f t="shared" si="21"/>
        <v>1.5495803642779905E-2</v>
      </c>
    </row>
    <row r="512" spans="1:12">
      <c r="A512">
        <v>200508</v>
      </c>
      <c r="B512">
        <f>'10-T-weights5'!B508</f>
        <v>-9.1999999999999998E-3</v>
      </c>
      <c r="C512">
        <f t="shared" si="22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3"/>
        <v>6.6383190883190779E-3</v>
      </c>
      <c r="L512">
        <f t="shared" si="21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2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3"/>
        <v>3.5138319088319082E-2</v>
      </c>
      <c r="L513">
        <f t="shared" si="21"/>
        <v>-1.1972791131929839E-2</v>
      </c>
    </row>
    <row r="514" spans="1:12">
      <c r="A514">
        <v>200510</v>
      </c>
      <c r="B514">
        <f>'10-T-weights5'!B510</f>
        <v>-1.7499999999999998E-2</v>
      </c>
      <c r="C514">
        <f t="shared" si="22"/>
        <v>-2.116168091168092E-2</v>
      </c>
      <c r="D514">
        <v>-1.43E-2</v>
      </c>
      <c r="E514">
        <v>4.0999999999999995E-3</v>
      </c>
      <c r="F514">
        <v>-9.4000000000000004E-3</v>
      </c>
      <c r="G514">
        <v>-1.29E-2</v>
      </c>
      <c r="I514">
        <v>-2.7900000000000001E-2</v>
      </c>
      <c r="K514">
        <f t="shared" si="23"/>
        <v>-3.156168091168092E-2</v>
      </c>
      <c r="L514">
        <f t="shared" si="21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2"/>
        <v>3.553831908831908E-2</v>
      </c>
      <c r="D515">
        <v>8.3999999999999995E-3</v>
      </c>
      <c r="E515">
        <v>-1.2E-2</v>
      </c>
      <c r="F515">
        <v>-7.4000000000000003E-3</v>
      </c>
      <c r="G515">
        <v>-1.1399999999999999E-2</v>
      </c>
      <c r="I515">
        <v>3.1600000000000003E-2</v>
      </c>
      <c r="K515">
        <f t="shared" si="23"/>
        <v>2.7938319088319081E-2</v>
      </c>
      <c r="L515">
        <f t="shared" si="21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2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1.8000000000000002E-2</v>
      </c>
      <c r="K516">
        <f t="shared" si="23"/>
        <v>1.433831908831908E-2</v>
      </c>
      <c r="L516">
        <f t="shared" si="21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2"/>
        <v>3.0238319088319077E-2</v>
      </c>
      <c r="D517">
        <v>5.7699999999999994E-2</v>
      </c>
      <c r="E517">
        <v>1.0900000000000002E-2</v>
      </c>
      <c r="F517">
        <v>-6.6000000000000008E-3</v>
      </c>
      <c r="G517">
        <v>-4.3E-3</v>
      </c>
      <c r="I517">
        <v>9.9299999999999999E-2</v>
      </c>
      <c r="K517">
        <f t="shared" si="23"/>
        <v>9.5638319088319074E-2</v>
      </c>
      <c r="L517">
        <f t="shared" si="21"/>
        <v>4.11766302853021E-2</v>
      </c>
    </row>
    <row r="518" spans="1:12">
      <c r="A518">
        <v>200602</v>
      </c>
      <c r="B518">
        <f>'10-T-weights5'!B514</f>
        <v>4.0000000000000018E-4</v>
      </c>
      <c r="C518">
        <f t="shared" si="22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3"/>
        <v>-5.6961680911680919E-2</v>
      </c>
      <c r="L518">
        <f t="shared" si="21"/>
        <v>3.6395587133031163E-2</v>
      </c>
    </row>
    <row r="519" spans="1:12">
      <c r="A519">
        <v>200603</v>
      </c>
      <c r="B519">
        <f>'10-T-weights5'!B515</f>
        <v>1.83E-2</v>
      </c>
      <c r="C519">
        <f t="shared" si="22"/>
        <v>1.4638319088319078E-2</v>
      </c>
      <c r="D519">
        <v>3.4000000000000002E-2</v>
      </c>
      <c r="E519">
        <v>5.5000000000000005E-3</v>
      </c>
      <c r="F519">
        <v>1E-3</v>
      </c>
      <c r="G519">
        <v>-4.0000000000000001E-3</v>
      </c>
      <c r="I519">
        <v>4.5899999999999996E-2</v>
      </c>
      <c r="K519">
        <f t="shared" si="23"/>
        <v>4.2238319088319078E-2</v>
      </c>
      <c r="L519">
        <f t="shared" ref="L519:L582" si="24">SUMPRODUCT($L$3:$P$3,C519:G519)</f>
        <v>2.6718251461109246E-2</v>
      </c>
    </row>
    <row r="520" spans="1:12">
      <c r="A520">
        <v>200604</v>
      </c>
      <c r="B520">
        <f>'10-T-weights5'!B516</f>
        <v>1.09E-2</v>
      </c>
      <c r="C520">
        <f t="shared" ref="C520:C583" si="25">B520-$H$3</f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ref="K520:K583" si="26">I520-$H$3</f>
        <v>1.5838319088319078E-2</v>
      </c>
      <c r="L520">
        <f t="shared" si="24"/>
        <v>2.5227242344838592E-2</v>
      </c>
    </row>
    <row r="521" spans="1:12">
      <c r="A521">
        <v>200605</v>
      </c>
      <c r="B521">
        <f>'10-T-weights5'!B517</f>
        <v>-3.1400000000000004E-2</v>
      </c>
      <c r="C521">
        <f t="shared" si="25"/>
        <v>-3.5061680911680923E-2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6"/>
        <v>-8.3461680911680936E-2</v>
      </c>
      <c r="L521">
        <f t="shared" si="24"/>
        <v>-3.8671712420145707E-3</v>
      </c>
    </row>
    <row r="522" spans="1:12">
      <c r="A522">
        <v>200606</v>
      </c>
      <c r="B522">
        <f>'10-T-weights5'!B518</f>
        <v>5.0000000000000044E-4</v>
      </c>
      <c r="C522">
        <f t="shared" si="25"/>
        <v>-3.1616809116809213E-3</v>
      </c>
      <c r="D522">
        <v>-2.2000000000000001E-3</v>
      </c>
      <c r="E522">
        <v>8.0000000000000002E-3</v>
      </c>
      <c r="F522">
        <v>1.3300000000000001E-2</v>
      </c>
      <c r="G522">
        <v>-8.0000000000000004E-4</v>
      </c>
      <c r="I522">
        <v>-6.9999999999999993E-3</v>
      </c>
      <c r="K522">
        <f t="shared" si="26"/>
        <v>-1.0661680911680921E-2</v>
      </c>
      <c r="L522">
        <f t="shared" si="24"/>
        <v>1.4875502109020141E-2</v>
      </c>
    </row>
    <row r="523" spans="1:12">
      <c r="A523">
        <v>200607</v>
      </c>
      <c r="B523">
        <f>'10-T-weights5'!B519</f>
        <v>-3.8000000000000004E-3</v>
      </c>
      <c r="C523">
        <f t="shared" si="25"/>
        <v>-7.4616809116809218E-3</v>
      </c>
      <c r="D523">
        <v>-3.6400000000000002E-2</v>
      </c>
      <c r="E523">
        <v>2.6200000000000001E-2</v>
      </c>
      <c r="F523">
        <v>1.6399999999999998E-2</v>
      </c>
      <c r="G523">
        <v>9.0000000000000011E-3</v>
      </c>
      <c r="I523">
        <v>-6.3100000000000003E-2</v>
      </c>
      <c r="K523">
        <f t="shared" si="26"/>
        <v>-6.6761680911680929E-2</v>
      </c>
      <c r="L523">
        <f t="shared" si="24"/>
        <v>1.1819058540033432E-2</v>
      </c>
    </row>
    <row r="524" spans="1:12">
      <c r="A524">
        <v>200608</v>
      </c>
      <c r="B524">
        <f>'10-T-weights5'!B520</f>
        <v>2.4499999999999997E-2</v>
      </c>
      <c r="C524">
        <f t="shared" si="25"/>
        <v>2.0838319088319075E-2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6"/>
        <v>-2.4061680911680924E-2</v>
      </c>
      <c r="L524">
        <f t="shared" si="24"/>
        <v>5.3460581442334357E-2</v>
      </c>
    </row>
    <row r="525" spans="1:12">
      <c r="A525">
        <v>200609</v>
      </c>
      <c r="B525">
        <f>'10-T-weights5'!B521</f>
        <v>2.2499999999999999E-2</v>
      </c>
      <c r="C525">
        <f t="shared" si="25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6"/>
        <v>1.5738319088319078E-2</v>
      </c>
      <c r="L525">
        <f t="shared" si="24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5"/>
        <v>3.2738319088319083E-2</v>
      </c>
      <c r="D526">
        <v>1.95E-2</v>
      </c>
      <c r="E526">
        <v>-2.6000000000000003E-3</v>
      </c>
      <c r="F526">
        <v>-1.6000000000000001E-3</v>
      </c>
      <c r="G526">
        <v>2.8000000000000004E-3</v>
      </c>
      <c r="I526">
        <v>6.4699999999999994E-2</v>
      </c>
      <c r="K526">
        <f t="shared" si="26"/>
        <v>6.1038319088319075E-2</v>
      </c>
      <c r="L526">
        <f t="shared" si="24"/>
        <v>5.1452868398025653E-2</v>
      </c>
    </row>
    <row r="527" spans="1:12">
      <c r="A527">
        <v>200611</v>
      </c>
      <c r="B527">
        <f>'10-T-weights5'!B523</f>
        <v>2.1299999999999999E-2</v>
      </c>
      <c r="C527">
        <f t="shared" si="25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6"/>
        <v>1.8638319088319078E-2</v>
      </c>
      <c r="L527">
        <f t="shared" si="24"/>
        <v>3.4809427491858946E-3</v>
      </c>
    </row>
    <row r="528" spans="1:12">
      <c r="A528">
        <v>200612</v>
      </c>
      <c r="B528">
        <f>'10-T-weights5'!B524</f>
        <v>1.2699999999999999E-2</v>
      </c>
      <c r="C528">
        <f t="shared" si="25"/>
        <v>9.0383190883190773E-3</v>
      </c>
      <c r="D528">
        <v>-8.0000000000000002E-3</v>
      </c>
      <c r="E528">
        <v>2.7099999999999999E-2</v>
      </c>
      <c r="F528">
        <v>-7.0999999999999995E-3</v>
      </c>
      <c r="G528">
        <v>2.0499999999999997E-2</v>
      </c>
      <c r="I528">
        <v>8.6E-3</v>
      </c>
      <c r="K528">
        <f t="shared" si="26"/>
        <v>4.9383190883190778E-3</v>
      </c>
      <c r="L528">
        <f t="shared" si="24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5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6"/>
        <v>2.8038319088319077E-2</v>
      </c>
      <c r="L529">
        <f t="shared" si="24"/>
        <v>3.2797115350151493E-2</v>
      </c>
    </row>
    <row r="530" spans="1:12">
      <c r="A530">
        <v>200702</v>
      </c>
      <c r="B530">
        <f>'10-T-weights5'!B526</f>
        <v>-1.5799999999999998E-2</v>
      </c>
      <c r="C530">
        <f t="shared" si="25"/>
        <v>-1.946168091168092E-2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6"/>
        <v>-3.0761680911680921E-2</v>
      </c>
      <c r="L530">
        <f t="shared" si="24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5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6"/>
        <v>1.5838319088319078E-2</v>
      </c>
      <c r="L531">
        <f t="shared" si="24"/>
        <v>6.3710314765354874E-3</v>
      </c>
    </row>
    <row r="532" spans="1:12">
      <c r="A532">
        <v>200704</v>
      </c>
      <c r="B532">
        <f>'10-T-weights5'!B528</f>
        <v>3.9300000000000002E-2</v>
      </c>
      <c r="C532">
        <f t="shared" si="25"/>
        <v>3.5638319088319083E-2</v>
      </c>
      <c r="D532">
        <v>-2.06E-2</v>
      </c>
      <c r="E532">
        <v>-1.43E-2</v>
      </c>
      <c r="F532">
        <v>1.1000000000000001E-2</v>
      </c>
      <c r="G532">
        <v>1.0500000000000001E-2</v>
      </c>
      <c r="I532">
        <v>2.1499999999999998E-2</v>
      </c>
      <c r="K532">
        <f t="shared" si="26"/>
        <v>1.7838319088319076E-2</v>
      </c>
      <c r="L532">
        <f t="shared" si="24"/>
        <v>7.5930035826874812E-2</v>
      </c>
    </row>
    <row r="533" spans="1:12">
      <c r="A533">
        <v>200705</v>
      </c>
      <c r="B533">
        <f>'10-T-weights5'!B529</f>
        <v>3.6500000000000005E-2</v>
      </c>
      <c r="C533">
        <f t="shared" si="25"/>
        <v>3.2838319088319086E-2</v>
      </c>
      <c r="D533">
        <v>3.8E-3</v>
      </c>
      <c r="E533">
        <v>-6.1999999999999998E-3</v>
      </c>
      <c r="F533">
        <v>1.5500000000000002E-2</v>
      </c>
      <c r="G533">
        <v>-1.3600000000000001E-2</v>
      </c>
      <c r="I533">
        <v>5.3600000000000002E-2</v>
      </c>
      <c r="K533">
        <f t="shared" si="26"/>
        <v>4.9938319088319083E-2</v>
      </c>
      <c r="L533">
        <f t="shared" si="24"/>
        <v>3.0845388230359677E-2</v>
      </c>
    </row>
    <row r="534" spans="1:12">
      <c r="A534">
        <v>200706</v>
      </c>
      <c r="B534">
        <f>'10-T-weights5'!B530</f>
        <v>-1.5599999999999999E-2</v>
      </c>
      <c r="C534">
        <f t="shared" si="25"/>
        <v>-1.9261680911680922E-2</v>
      </c>
      <c r="D534">
        <v>7.4999999999999997E-3</v>
      </c>
      <c r="E534">
        <v>-1.0700000000000001E-2</v>
      </c>
      <c r="F534">
        <v>5.3E-3</v>
      </c>
      <c r="G534">
        <v>8.0000000000000004E-4</v>
      </c>
      <c r="I534">
        <v>-1.4800000000000001E-2</v>
      </c>
      <c r="K534">
        <f t="shared" si="26"/>
        <v>-1.8461680911680923E-2</v>
      </c>
      <c r="L534">
        <f t="shared" si="24"/>
        <v>2.2079690468034333E-3</v>
      </c>
    </row>
    <row r="535" spans="1:12">
      <c r="A535">
        <v>200707</v>
      </c>
      <c r="B535">
        <f>'10-T-weights5'!B531</f>
        <v>-3.3299999999999996E-2</v>
      </c>
      <c r="C535">
        <f t="shared" si="25"/>
        <v>-3.6961680911680915E-2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6"/>
        <v>-1.9961680911680921E-2</v>
      </c>
      <c r="L535">
        <f t="shared" si="24"/>
        <v>-6.7949695824307751E-2</v>
      </c>
    </row>
    <row r="536" spans="1:12">
      <c r="A536">
        <v>200708</v>
      </c>
      <c r="B536">
        <f>'10-T-weights5'!B532</f>
        <v>1.3399999999999999E-2</v>
      </c>
      <c r="C536">
        <f t="shared" si="25"/>
        <v>9.7383190883190765E-3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6"/>
        <v>1.5238319088319078E-2</v>
      </c>
      <c r="L536">
        <f t="shared" si="24"/>
        <v>-2.2532237683171315E-2</v>
      </c>
    </row>
    <row r="537" spans="1:12">
      <c r="A537">
        <v>200709</v>
      </c>
      <c r="B537">
        <f>'10-T-weights5'!B533</f>
        <v>3.5400000000000001E-2</v>
      </c>
      <c r="C537">
        <f t="shared" si="25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6"/>
        <v>7.6038319088319067E-2</v>
      </c>
      <c r="L537">
        <f t="shared" si="24"/>
        <v>-6.6272439810124234E-2</v>
      </c>
    </row>
    <row r="538" spans="1:12">
      <c r="A538">
        <v>200710</v>
      </c>
      <c r="B538">
        <f>'10-T-weights5'!B534</f>
        <v>2.1200000000000004E-2</v>
      </c>
      <c r="C538">
        <f t="shared" si="25"/>
        <v>1.7538319088319081E-2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6"/>
        <v>7.4338319088319074E-2</v>
      </c>
      <c r="L538">
        <f t="shared" si="24"/>
        <v>2.0890722462895934E-2</v>
      </c>
    </row>
    <row r="539" spans="1:12">
      <c r="A539">
        <v>200711</v>
      </c>
      <c r="B539">
        <f>'10-T-weights5'!B535</f>
        <v>-4.4900000000000002E-2</v>
      </c>
      <c r="C539">
        <f t="shared" si="25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-6.0300000000000006E-2</v>
      </c>
      <c r="K539">
        <f t="shared" si="26"/>
        <v>-6.3961680911680932E-2</v>
      </c>
      <c r="L539">
        <f t="shared" si="24"/>
        <v>-3.7203037178861816E-2</v>
      </c>
    </row>
    <row r="540" spans="1:12">
      <c r="A540">
        <v>200712</v>
      </c>
      <c r="B540">
        <f>'10-T-weights5'!B536</f>
        <v>-5.9999999999999993E-3</v>
      </c>
      <c r="C540">
        <f t="shared" si="25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6"/>
        <v>3.9938319088319088E-2</v>
      </c>
      <c r="L540">
        <f t="shared" si="24"/>
        <v>-1.9118455836006368E-2</v>
      </c>
    </row>
    <row r="541" spans="1:12">
      <c r="A541">
        <v>200801</v>
      </c>
      <c r="B541">
        <f>'10-T-weights5'!B537</f>
        <v>-6.1500000000000006E-2</v>
      </c>
      <c r="C541">
        <f t="shared" si="25"/>
        <v>-6.5161680911680925E-2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6"/>
        <v>-0.13566168091168093</v>
      </c>
      <c r="L541">
        <f t="shared" si="24"/>
        <v>1.2347304732008416E-2</v>
      </c>
    </row>
    <row r="542" spans="1:12">
      <c r="A542">
        <v>200802</v>
      </c>
      <c r="B542">
        <f>'10-T-weights5'!B538</f>
        <v>-2.9600000000000001E-2</v>
      </c>
      <c r="C542">
        <f t="shared" si="25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6"/>
        <v>1.7338319088319079E-2</v>
      </c>
      <c r="L542">
        <f t="shared" si="24"/>
        <v>-4.3343445807461689E-2</v>
      </c>
    </row>
    <row r="543" spans="1:12">
      <c r="A543">
        <v>200803</v>
      </c>
      <c r="B543">
        <f>'10-T-weights5'!B539</f>
        <v>-7.6000000000000009E-3</v>
      </c>
      <c r="C543">
        <f t="shared" si="25"/>
        <v>-1.1261680911680923E-2</v>
      </c>
      <c r="D543">
        <v>6.1000000000000004E-3</v>
      </c>
      <c r="E543">
        <v>3.4999999999999996E-3</v>
      </c>
      <c r="F543">
        <v>8.0000000000000002E-3</v>
      </c>
      <c r="G543">
        <v>5.1000000000000004E-3</v>
      </c>
      <c r="I543">
        <v>-1.8E-3</v>
      </c>
      <c r="K543">
        <f t="shared" si="26"/>
        <v>-5.4616809116809217E-3</v>
      </c>
      <c r="L543">
        <f t="shared" si="24"/>
        <v>1.9968010440051181E-2</v>
      </c>
    </row>
    <row r="544" spans="1:12">
      <c r="A544">
        <v>200804</v>
      </c>
      <c r="B544">
        <f>'10-T-weights5'!B540</f>
        <v>4.7800000000000002E-2</v>
      </c>
      <c r="C544">
        <f t="shared" si="25"/>
        <v>4.4138319088319083E-2</v>
      </c>
      <c r="D544">
        <v>-1.1899999999999999E-2</v>
      </c>
      <c r="E544">
        <v>-1.0900000000000002E-2</v>
      </c>
      <c r="F544">
        <v>1.6799999999999999E-2</v>
      </c>
      <c r="G544">
        <v>-2.46E-2</v>
      </c>
      <c r="I544">
        <v>9.7200000000000009E-2</v>
      </c>
      <c r="K544">
        <f t="shared" si="26"/>
        <v>9.3538319088319083E-2</v>
      </c>
      <c r="L544">
        <f t="shared" si="24"/>
        <v>6.640867997487046E-3</v>
      </c>
    </row>
    <row r="545" spans="1:12">
      <c r="A545">
        <v>200805</v>
      </c>
      <c r="B545">
        <f>'10-T-weights5'!B541</f>
        <v>2.0400000000000001E-2</v>
      </c>
      <c r="C545">
        <f t="shared" si="25"/>
        <v>1.6738319088319079E-2</v>
      </c>
      <c r="D545">
        <v>3.0200000000000001E-2</v>
      </c>
      <c r="E545">
        <v>-1.5300000000000001E-2</v>
      </c>
      <c r="F545">
        <v>9.1000000000000004E-3</v>
      </c>
      <c r="G545">
        <v>-5.9999999999999995E-4</v>
      </c>
      <c r="I545">
        <v>6.9900000000000004E-2</v>
      </c>
      <c r="K545">
        <f t="shared" si="26"/>
        <v>6.6238319088319078E-2</v>
      </c>
      <c r="L545">
        <f t="shared" si="24"/>
        <v>5.8863747292841398E-2</v>
      </c>
    </row>
    <row r="546" spans="1:12">
      <c r="A546">
        <v>200806</v>
      </c>
      <c r="B546">
        <f>'10-T-weights5'!B542</f>
        <v>-8.2699999999999996E-2</v>
      </c>
      <c r="C546">
        <f t="shared" si="25"/>
        <v>-8.6361680911680921E-2</v>
      </c>
      <c r="D546">
        <v>1.1899999999999999E-2</v>
      </c>
      <c r="E546">
        <v>-2.7000000000000003E-2</v>
      </c>
      <c r="F546">
        <v>4.9400000000000006E-2</v>
      </c>
      <c r="G546">
        <v>-5.6000000000000008E-3</v>
      </c>
      <c r="I546">
        <v>-4.7999999999999996E-3</v>
      </c>
      <c r="K546">
        <f t="shared" si="26"/>
        <v>-8.4616809116809209E-3</v>
      </c>
      <c r="L546">
        <f t="shared" si="24"/>
        <v>1.0266170696673555E-2</v>
      </c>
    </row>
    <row r="547" spans="1:12">
      <c r="A547">
        <v>200807</v>
      </c>
      <c r="B547">
        <f>'10-T-weights5'!B543</f>
        <v>-6.2000000000000006E-3</v>
      </c>
      <c r="C547">
        <f t="shared" si="25"/>
        <v>-9.8616809116809229E-3</v>
      </c>
      <c r="D547">
        <v>3.7000000000000005E-2</v>
      </c>
      <c r="E547">
        <v>5.2699999999999997E-2</v>
      </c>
      <c r="F547">
        <v>-1.3500000000000002E-2</v>
      </c>
      <c r="G547">
        <v>1.03E-2</v>
      </c>
      <c r="I547">
        <v>-9.5399999999999999E-2</v>
      </c>
      <c r="K547">
        <f t="shared" si="26"/>
        <v>-9.9061680911680924E-2</v>
      </c>
      <c r="L547">
        <f t="shared" si="24"/>
        <v>-4.0742443226293688E-3</v>
      </c>
    </row>
    <row r="548" spans="1:12">
      <c r="A548">
        <v>200808</v>
      </c>
      <c r="B548">
        <f>'10-T-weights5'!B544</f>
        <v>1.66E-2</v>
      </c>
      <c r="C548">
        <f t="shared" si="25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-2.8900000000000002E-2</v>
      </c>
      <c r="K548">
        <f t="shared" si="26"/>
        <v>-3.2561680911680921E-2</v>
      </c>
      <c r="L548">
        <f t="shared" si="24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5"/>
        <v>-9.4561680911680934E-2</v>
      </c>
      <c r="D549">
        <v>2.5000000000000001E-3</v>
      </c>
      <c r="E549">
        <v>5.9000000000000004E-2</v>
      </c>
      <c r="F549">
        <v>2.4100000000000003E-2</v>
      </c>
      <c r="G549">
        <v>1.8000000000000002E-2</v>
      </c>
      <c r="I549">
        <v>-0.15190000000000001</v>
      </c>
      <c r="K549">
        <f t="shared" si="26"/>
        <v>-0.15556168091168093</v>
      </c>
      <c r="L549">
        <f t="shared" si="24"/>
        <v>-2.3900820982887747E-2</v>
      </c>
    </row>
    <row r="550" spans="1:12">
      <c r="A550">
        <v>200810</v>
      </c>
      <c r="B550">
        <f>'10-T-weights5'!B546</f>
        <v>-0.17150000000000001</v>
      </c>
      <c r="C550">
        <f t="shared" si="25"/>
        <v>-0.17516168091168094</v>
      </c>
      <c r="D550">
        <v>-3.2799999999999996E-2</v>
      </c>
      <c r="E550">
        <v>-2.2200000000000001E-2</v>
      </c>
      <c r="F550">
        <v>2.9900000000000003E-2</v>
      </c>
      <c r="G550">
        <v>2.0400000000000001E-2</v>
      </c>
      <c r="I550">
        <v>-0.14960000000000001</v>
      </c>
      <c r="K550">
        <f t="shared" si="26"/>
        <v>-0.15326168091168094</v>
      </c>
      <c r="L550">
        <f t="shared" si="24"/>
        <v>-7.828182714518768E-2</v>
      </c>
    </row>
    <row r="551" spans="1:12">
      <c r="A551">
        <v>200811</v>
      </c>
      <c r="B551">
        <f>'10-T-weights5'!B547</f>
        <v>-7.8300000000000008E-2</v>
      </c>
      <c r="C551">
        <f t="shared" si="25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6"/>
        <v>-8.8961680911680927E-2</v>
      </c>
      <c r="L551">
        <f t="shared" si="24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5"/>
        <v>1.3738319088319077E-2</v>
      </c>
      <c r="D552">
        <v>3.3100000000000004E-2</v>
      </c>
      <c r="E552">
        <v>7.000000000000001E-4</v>
      </c>
      <c r="F552">
        <v>1.3000000000000002E-3</v>
      </c>
      <c r="G552">
        <v>-1.5100000000000001E-2</v>
      </c>
      <c r="I552">
        <v>7.6E-3</v>
      </c>
      <c r="K552">
        <f t="shared" si="26"/>
        <v>3.9383190883190786E-3</v>
      </c>
      <c r="L552">
        <f t="shared" si="24"/>
        <v>-1.747058950089142E-3</v>
      </c>
    </row>
    <row r="553" spans="1:12">
      <c r="A553">
        <v>200901</v>
      </c>
      <c r="B553">
        <f>'10-T-weights5'!B549</f>
        <v>-8.1199999999999994E-2</v>
      </c>
      <c r="C553">
        <f t="shared" si="25"/>
        <v>-8.486168091168092E-2</v>
      </c>
      <c r="D553">
        <v>-2.0800000000000003E-2</v>
      </c>
      <c r="E553">
        <v>-0.11109999999999999</v>
      </c>
      <c r="F553">
        <v>1.1000000000000001E-3</v>
      </c>
      <c r="G553">
        <v>-1.1899999999999999E-2</v>
      </c>
      <c r="I553">
        <v>-0.1208</v>
      </c>
      <c r="K553">
        <f t="shared" si="26"/>
        <v>-0.12446168091168093</v>
      </c>
      <c r="L553">
        <f t="shared" si="24"/>
        <v>-8.3439953373306924E-2</v>
      </c>
    </row>
    <row r="554" spans="1:12">
      <c r="A554">
        <v>200902</v>
      </c>
      <c r="B554">
        <f>'10-T-weights5'!B550</f>
        <v>-0.10089999999999999</v>
      </c>
      <c r="C554">
        <f t="shared" si="25"/>
        <v>-0.10456168091168092</v>
      </c>
      <c r="D554">
        <v>-1.3000000000000001E-2</v>
      </c>
      <c r="E554">
        <v>-6.9100000000000009E-2</v>
      </c>
      <c r="F554">
        <v>1.11E-2</v>
      </c>
      <c r="G554">
        <v>-1.0500000000000001E-2</v>
      </c>
      <c r="I554">
        <v>-4.5599999999999995E-2</v>
      </c>
      <c r="K554">
        <f t="shared" si="26"/>
        <v>-4.9261680911680913E-2</v>
      </c>
      <c r="L554">
        <f t="shared" si="24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5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4.8499999999999995E-2</v>
      </c>
      <c r="K555">
        <f t="shared" si="26"/>
        <v>4.4838319088319076E-2</v>
      </c>
      <c r="L555">
        <f t="shared" si="24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5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6"/>
        <v>-6.8616809116809219E-3</v>
      </c>
      <c r="L556">
        <f t="shared" si="24"/>
        <v>0.15152710203774641</v>
      </c>
    </row>
    <row r="557" spans="1:12">
      <c r="A557">
        <v>200905</v>
      </c>
      <c r="B557">
        <f>'10-T-weights5'!B553</f>
        <v>5.21E-2</v>
      </c>
      <c r="C557">
        <f t="shared" si="25"/>
        <v>4.8438319088319082E-2</v>
      </c>
      <c r="D557">
        <v>-2.3100000000000002E-2</v>
      </c>
      <c r="E557">
        <v>3.7000000000000002E-3</v>
      </c>
      <c r="F557">
        <v>-7.4000000000000003E-3</v>
      </c>
      <c r="G557">
        <v>-2.2000000000000002E-2</v>
      </c>
      <c r="I557">
        <v>1.8000000000000002E-2</v>
      </c>
      <c r="K557">
        <f t="shared" si="26"/>
        <v>1.433831908831908E-2</v>
      </c>
      <c r="L557">
        <f t="shared" si="24"/>
        <v>-4.0974112206901905E-2</v>
      </c>
    </row>
    <row r="558" spans="1:12">
      <c r="A558">
        <v>200906</v>
      </c>
      <c r="B558">
        <f>'10-T-weights5'!B554</f>
        <v>4.4000000000000003E-3</v>
      </c>
      <c r="C558">
        <f t="shared" si="25"/>
        <v>7.3831908831907848E-4</v>
      </c>
      <c r="D558">
        <v>2.3100000000000002E-2</v>
      </c>
      <c r="E558">
        <v>-2.7200000000000002E-2</v>
      </c>
      <c r="F558">
        <v>-1.34E-2</v>
      </c>
      <c r="G558">
        <v>-3.0999999999999999E-3</v>
      </c>
      <c r="I558">
        <v>3.0800000000000001E-2</v>
      </c>
      <c r="K558">
        <f t="shared" si="26"/>
        <v>2.7138319088319079E-2</v>
      </c>
      <c r="L558">
        <f t="shared" si="24"/>
        <v>-5.879383999933081E-3</v>
      </c>
    </row>
    <row r="559" spans="1:12">
      <c r="A559">
        <v>200907</v>
      </c>
      <c r="B559">
        <f>'10-T-weights5'!B555</f>
        <v>7.7300000000000008E-2</v>
      </c>
      <c r="C559">
        <f t="shared" si="25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5.6600000000000004E-2</v>
      </c>
      <c r="K559">
        <f t="shared" si="26"/>
        <v>5.2938319088319086E-2</v>
      </c>
      <c r="L559">
        <f t="shared" si="24"/>
        <v>0.14715810640098093</v>
      </c>
    </row>
    <row r="560" spans="1:12">
      <c r="A560">
        <v>200908</v>
      </c>
      <c r="B560">
        <f>'10-T-weights5'!B556</f>
        <v>3.3400000000000006E-2</v>
      </c>
      <c r="C560">
        <f t="shared" si="25"/>
        <v>2.9738319088319084E-2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6"/>
        <v>-1.6616809116809217E-3</v>
      </c>
      <c r="L560">
        <f t="shared" si="24"/>
        <v>3.1186875705400206E-2</v>
      </c>
    </row>
    <row r="561" spans="1:12">
      <c r="A561">
        <v>200909</v>
      </c>
      <c r="B561">
        <f>'10-T-weights5'!B557</f>
        <v>4.0900000000000006E-2</v>
      </c>
      <c r="C561">
        <f t="shared" si="25"/>
        <v>3.7238319088319087E-2</v>
      </c>
      <c r="D561">
        <v>2.7200000000000002E-2</v>
      </c>
      <c r="E561">
        <v>1.0400000000000001E-2</v>
      </c>
      <c r="F561">
        <v>1.2500000000000001E-2</v>
      </c>
      <c r="G561">
        <v>3.4999999999999996E-3</v>
      </c>
      <c r="I561">
        <v>5.0199999999999995E-2</v>
      </c>
      <c r="K561">
        <f t="shared" si="26"/>
        <v>4.6538319088319076E-2</v>
      </c>
      <c r="L561">
        <f t="shared" si="24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5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6"/>
        <v>-4.4461680911680922E-2</v>
      </c>
      <c r="L562">
        <f t="shared" si="24"/>
        <v>-6.5863344999105913E-3</v>
      </c>
    </row>
    <row r="563" spans="1:12">
      <c r="A563">
        <v>200911</v>
      </c>
      <c r="B563">
        <f>'10-T-weights5'!B559</f>
        <v>5.5599999999999997E-2</v>
      </c>
      <c r="C563">
        <f t="shared" si="25"/>
        <v>5.1938319088319078E-2</v>
      </c>
      <c r="D563">
        <v>-2.6800000000000001E-2</v>
      </c>
      <c r="E563">
        <v>-3.3000000000000004E-3</v>
      </c>
      <c r="F563">
        <v>9.7999999999999997E-3</v>
      </c>
      <c r="G563">
        <v>1.1000000000000001E-3</v>
      </c>
      <c r="I563">
        <v>6.4399999999999999E-2</v>
      </c>
      <c r="K563">
        <f t="shared" si="26"/>
        <v>6.073831908831908E-2</v>
      </c>
      <c r="L563">
        <f t="shared" si="24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5"/>
        <v>2.3938319088319077E-2</v>
      </c>
      <c r="D564">
        <v>6.2400000000000004E-2</v>
      </c>
      <c r="E564">
        <v>-1.7000000000000001E-3</v>
      </c>
      <c r="F564">
        <v>1.0500000000000001E-2</v>
      </c>
      <c r="G564">
        <v>-1E-3</v>
      </c>
      <c r="I564">
        <v>5.45E-2</v>
      </c>
      <c r="K564">
        <f t="shared" si="26"/>
        <v>5.0838319088319081E-2</v>
      </c>
      <c r="L564">
        <f t="shared" si="24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5"/>
        <v>-3.7261680911680917E-2</v>
      </c>
      <c r="D565">
        <v>3.4999999999999996E-3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6"/>
        <v>-6.8461680911680936E-2</v>
      </c>
      <c r="L565">
        <f t="shared" si="24"/>
        <v>-4.7977746793093495E-2</v>
      </c>
    </row>
    <row r="566" spans="1:12">
      <c r="A566">
        <v>201002</v>
      </c>
      <c r="B566">
        <f>'10-T-weights5'!B562</f>
        <v>3.4000000000000002E-2</v>
      </c>
      <c r="C566">
        <f t="shared" si="25"/>
        <v>3.033831908831908E-2</v>
      </c>
      <c r="D566">
        <v>1.5100000000000001E-2</v>
      </c>
      <c r="E566">
        <v>3.2199999999999999E-2</v>
      </c>
      <c r="F566">
        <v>-2.8000000000000004E-3</v>
      </c>
      <c r="G566">
        <v>1.3999999999999999E-2</v>
      </c>
      <c r="I566">
        <v>8.4600000000000009E-2</v>
      </c>
      <c r="K566">
        <f t="shared" si="26"/>
        <v>8.0938319088319083E-2</v>
      </c>
      <c r="L566">
        <f t="shared" si="24"/>
        <v>5.9439132770292308E-2</v>
      </c>
    </row>
    <row r="567" spans="1:12">
      <c r="A567">
        <v>201003</v>
      </c>
      <c r="B567">
        <f>'10-T-weights5'!B563</f>
        <v>6.3200000000000006E-2</v>
      </c>
      <c r="C567">
        <f t="shared" si="25"/>
        <v>5.9538319088319087E-2</v>
      </c>
      <c r="D567">
        <v>1.8500000000000003E-2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6"/>
        <v>8.263831908831909E-2</v>
      </c>
      <c r="L567">
        <f t="shared" si="24"/>
        <v>9.565545274504994E-2</v>
      </c>
    </row>
    <row r="568" spans="1:12">
      <c r="A568">
        <v>201004</v>
      </c>
      <c r="B568">
        <f>'10-T-weights5'!B564</f>
        <v>2.01E-2</v>
      </c>
      <c r="C568">
        <f t="shared" si="25"/>
        <v>1.6438319088319078E-2</v>
      </c>
      <c r="D568">
        <v>4.9800000000000004E-2</v>
      </c>
      <c r="E568">
        <v>2.8900000000000002E-2</v>
      </c>
      <c r="F568">
        <v>6.9999999999999993E-3</v>
      </c>
      <c r="G568">
        <v>1.7399999999999999E-2</v>
      </c>
      <c r="I568">
        <v>7.0499999999999993E-2</v>
      </c>
      <c r="K568">
        <f t="shared" si="26"/>
        <v>6.6838319088319068E-2</v>
      </c>
      <c r="L568">
        <f t="shared" si="24"/>
        <v>9.7777440777634908E-2</v>
      </c>
    </row>
    <row r="569" spans="1:12">
      <c r="A569">
        <v>201005</v>
      </c>
      <c r="B569">
        <f>'10-T-weights5'!B565</f>
        <v>-7.8799999999999995E-2</v>
      </c>
      <c r="C569">
        <f t="shared" si="25"/>
        <v>-8.2461680911680921E-2</v>
      </c>
      <c r="D569">
        <v>4.0000000000000002E-4</v>
      </c>
      <c r="E569">
        <v>-2.4400000000000002E-2</v>
      </c>
      <c r="F569">
        <v>1.2700000000000001E-2</v>
      </c>
      <c r="G569">
        <v>-2.3E-3</v>
      </c>
      <c r="I569">
        <v>-9.9000000000000005E-2</v>
      </c>
      <c r="K569">
        <f t="shared" si="26"/>
        <v>-0.10266168091168093</v>
      </c>
      <c r="L569">
        <f t="shared" si="24"/>
        <v>-5.4627053254293373E-2</v>
      </c>
    </row>
    <row r="570" spans="1:12">
      <c r="A570">
        <v>201006</v>
      </c>
      <c r="B570">
        <f>'10-T-weights5'!B566</f>
        <v>-5.5600000000000004E-2</v>
      </c>
      <c r="C570">
        <f t="shared" si="25"/>
        <v>-5.9261680911680922E-2</v>
      </c>
      <c r="D570">
        <v>-2.4700000000000003E-2</v>
      </c>
      <c r="E570">
        <v>-4.7E-2</v>
      </c>
      <c r="F570">
        <v>-1.8E-3</v>
      </c>
      <c r="G570">
        <v>-1.5500000000000002E-2</v>
      </c>
      <c r="I570">
        <v>-0.1099</v>
      </c>
      <c r="K570">
        <f t="shared" si="26"/>
        <v>-0.11356168091168092</v>
      </c>
      <c r="L570">
        <f t="shared" si="24"/>
        <v>-0.10146296086735801</v>
      </c>
    </row>
    <row r="571" spans="1:12">
      <c r="A571">
        <v>201007</v>
      </c>
      <c r="B571">
        <f>'10-T-weights5'!B567</f>
        <v>6.9400000000000003E-2</v>
      </c>
      <c r="C571">
        <f t="shared" si="25"/>
        <v>6.5738319088319078E-2</v>
      </c>
      <c r="D571">
        <v>1.6000000000000001E-3</v>
      </c>
      <c r="E571">
        <v>-3.0000000000000001E-3</v>
      </c>
      <c r="F571">
        <v>2.6000000000000003E-3</v>
      </c>
      <c r="G571">
        <v>1.9900000000000001E-2</v>
      </c>
      <c r="I571">
        <v>0.10150000000000001</v>
      </c>
      <c r="K571">
        <f t="shared" si="26"/>
        <v>9.7838319088319081E-2</v>
      </c>
      <c r="L571">
        <f t="shared" si="24"/>
        <v>0.1257281498314391</v>
      </c>
    </row>
    <row r="572" spans="1:12">
      <c r="A572">
        <v>201008</v>
      </c>
      <c r="B572">
        <f>'10-T-weights5'!B568</f>
        <v>-4.7599999999999996E-2</v>
      </c>
      <c r="C572">
        <f t="shared" si="25"/>
        <v>-5.1261680911680915E-2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6"/>
        <v>-5.6961680911680919E-2</v>
      </c>
      <c r="L572">
        <f t="shared" si="24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5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6"/>
        <v>0.13393831908831907</v>
      </c>
      <c r="L573">
        <f t="shared" si="24"/>
        <v>0.1364547612179921</v>
      </c>
    </row>
    <row r="574" spans="1:12">
      <c r="A574">
        <v>201010</v>
      </c>
      <c r="B574">
        <f>'10-T-weights5'!B570</f>
        <v>3.8900000000000004E-2</v>
      </c>
      <c r="C574">
        <f t="shared" si="25"/>
        <v>3.5238319088319085E-2</v>
      </c>
      <c r="D574">
        <v>8.6E-3</v>
      </c>
      <c r="E574">
        <v>-2.4900000000000002E-2</v>
      </c>
      <c r="F574">
        <v>1.2700000000000001E-2</v>
      </c>
      <c r="G574">
        <v>-3.0999999999999999E-3</v>
      </c>
      <c r="I574">
        <v>5.5099999999999996E-2</v>
      </c>
      <c r="K574">
        <f t="shared" si="26"/>
        <v>5.1438319088319077E-2</v>
      </c>
      <c r="L574">
        <f t="shared" si="24"/>
        <v>6.6712740848628119E-2</v>
      </c>
    </row>
    <row r="575" spans="1:12">
      <c r="A575">
        <v>201011</v>
      </c>
      <c r="B575">
        <f>'10-T-weights5'!B571</f>
        <v>6.1000000000000004E-3</v>
      </c>
      <c r="C575">
        <f t="shared" si="25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6"/>
        <v>5.853831908831908E-2</v>
      </c>
      <c r="L575">
        <f t="shared" si="24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5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4.3899999999999995E-2</v>
      </c>
      <c r="K576">
        <f t="shared" si="26"/>
        <v>4.0238319088319076E-2</v>
      </c>
      <c r="L576">
        <f t="shared" si="24"/>
        <v>7.375270986357825E-2</v>
      </c>
    </row>
    <row r="577" spans="1:12">
      <c r="A577">
        <v>201101</v>
      </c>
      <c r="B577">
        <f>'10-T-weights5'!B573</f>
        <v>0.02</v>
      </c>
      <c r="C577">
        <f t="shared" si="25"/>
        <v>1.6338319088319078E-2</v>
      </c>
      <c r="D577">
        <v>-2.3700000000000002E-2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6"/>
        <v>2.6383190883190783E-3</v>
      </c>
      <c r="L577">
        <f t="shared" si="24"/>
        <v>7.0079945399440253E-3</v>
      </c>
    </row>
    <row r="578" spans="1:12">
      <c r="A578">
        <v>201102</v>
      </c>
      <c r="B578">
        <f>'10-T-weights5'!B574</f>
        <v>3.5000000000000003E-2</v>
      </c>
      <c r="C578">
        <f t="shared" si="25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6"/>
        <v>3.6438319088319078E-2</v>
      </c>
      <c r="L578">
        <f t="shared" si="24"/>
        <v>2.4191794481391818E-2</v>
      </c>
    </row>
    <row r="579" spans="1:12">
      <c r="A579">
        <v>201103</v>
      </c>
      <c r="B579">
        <f>'10-T-weights5'!B575</f>
        <v>4.7000000000000002E-3</v>
      </c>
      <c r="C579">
        <f t="shared" si="25"/>
        <v>1.0383190883190784E-3</v>
      </c>
      <c r="D579">
        <v>2.6400000000000003E-2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6"/>
        <v>2.5438319088319079E-2</v>
      </c>
      <c r="L579">
        <f t="shared" si="24"/>
        <v>6.0071870798984961E-2</v>
      </c>
    </row>
    <row r="580" spans="1:12">
      <c r="A580">
        <v>201104</v>
      </c>
      <c r="B580">
        <f>'10-T-weights5'!B576</f>
        <v>2.8999999999999998E-2</v>
      </c>
      <c r="C580">
        <f t="shared" si="25"/>
        <v>2.5338319088319076E-2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6"/>
        <v>2.8938319088319075E-2</v>
      </c>
      <c r="L580">
        <f t="shared" si="24"/>
        <v>2.9659820349313082E-2</v>
      </c>
    </row>
    <row r="581" spans="1:12">
      <c r="A581">
        <v>201105</v>
      </c>
      <c r="B581">
        <f>'10-T-weights5'!B577</f>
        <v>-1.2700000000000001E-2</v>
      </c>
      <c r="C581">
        <f t="shared" si="25"/>
        <v>-1.6361680911680922E-2</v>
      </c>
      <c r="D581">
        <v>-7.0999999999999995E-3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6"/>
        <v>-3.276168091168092E-2</v>
      </c>
      <c r="L581">
        <f t="shared" si="24"/>
        <v>-1.6626716562105646E-2</v>
      </c>
    </row>
    <row r="582" spans="1:12">
      <c r="A582">
        <v>201106</v>
      </c>
      <c r="B582">
        <f>'10-T-weights5'!B578</f>
        <v>-1.7500000000000002E-2</v>
      </c>
      <c r="C582">
        <f t="shared" si="25"/>
        <v>-2.1161680911680924E-2</v>
      </c>
      <c r="D582">
        <v>1.3000000000000002E-3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6"/>
        <v>-3.4616809116809217E-3</v>
      </c>
      <c r="L582">
        <f t="shared" si="24"/>
        <v>-1.234815403271133E-2</v>
      </c>
    </row>
    <row r="583" spans="1:12">
      <c r="A583">
        <v>201107</v>
      </c>
      <c r="B583">
        <f>'10-T-weights5'!B579</f>
        <v>-2.35E-2</v>
      </c>
      <c r="C583">
        <f t="shared" si="25"/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-1.5600000000000001E-2</v>
      </c>
      <c r="K583">
        <f t="shared" si="26"/>
        <v>-1.9261680911680922E-2</v>
      </c>
      <c r="L583">
        <f t="shared" ref="L583:L646" si="27">SUMPRODUCT($L$3:$P$3,C583:G583)</f>
        <v>-2.7887750876920039E-2</v>
      </c>
    </row>
    <row r="584" spans="1:12">
      <c r="A584">
        <v>201108</v>
      </c>
      <c r="B584">
        <f>'10-T-weights5'!B580</f>
        <v>-5.9799999999999999E-2</v>
      </c>
      <c r="C584">
        <f t="shared" ref="C584:C647" si="28">B584-$H$3</f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ref="K584:K647" si="29">I584-$H$3</f>
        <v>-9.0261680911680922E-2</v>
      </c>
      <c r="L584">
        <f t="shared" si="27"/>
        <v>-2.2018887418328567E-2</v>
      </c>
    </row>
    <row r="585" spans="1:12">
      <c r="A585">
        <v>201109</v>
      </c>
      <c r="B585">
        <f>'10-T-weights5'!B581</f>
        <v>-7.5899999999999995E-2</v>
      </c>
      <c r="C585">
        <f t="shared" si="28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9"/>
        <v>-0.16266168091168093</v>
      </c>
      <c r="L585">
        <f t="shared" si="27"/>
        <v>-5.3777291287789054E-2</v>
      </c>
    </row>
    <row r="586" spans="1:12">
      <c r="A586">
        <v>201110</v>
      </c>
      <c r="B586">
        <f>'10-T-weights5'!B582</f>
        <v>0.1135</v>
      </c>
      <c r="C586">
        <f t="shared" si="28"/>
        <v>0.10983831908831908</v>
      </c>
      <c r="D586">
        <v>3.4799999999999998E-2</v>
      </c>
      <c r="E586">
        <v>1.1999999999999999E-3</v>
      </c>
      <c r="F586">
        <v>-2.1400000000000002E-2</v>
      </c>
      <c r="G586">
        <v>-8.6999999999999994E-3</v>
      </c>
      <c r="I586">
        <v>0.14449999999999999</v>
      </c>
      <c r="K586">
        <f t="shared" si="29"/>
        <v>0.14083831908831906</v>
      </c>
      <c r="L586">
        <f t="shared" si="27"/>
        <v>6.9797851167037461E-2</v>
      </c>
    </row>
    <row r="587" spans="1:12">
      <c r="A587">
        <v>201111</v>
      </c>
      <c r="B587">
        <f>'10-T-weights5'!B583</f>
        <v>-2.8000000000000004E-3</v>
      </c>
      <c r="C587">
        <f t="shared" si="28"/>
        <v>-6.4616809116809226E-3</v>
      </c>
      <c r="D587">
        <v>-2.8000000000000004E-3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9"/>
        <v>-1.7561680911680921E-2</v>
      </c>
      <c r="L587">
        <f t="shared" si="27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8"/>
        <v>3.7383190883190785E-3</v>
      </c>
      <c r="D588">
        <v>-3.3000000000000004E-3</v>
      </c>
      <c r="E588">
        <v>1.61E-2</v>
      </c>
      <c r="F588">
        <v>1.01E-2</v>
      </c>
      <c r="G588">
        <v>2.4900000000000002E-2</v>
      </c>
      <c r="I588">
        <v>-1.06E-2</v>
      </c>
      <c r="K588">
        <f t="shared" si="29"/>
        <v>-1.4261680911680922E-2</v>
      </c>
      <c r="L588">
        <f t="shared" si="27"/>
        <v>7.9971040720005243E-2</v>
      </c>
    </row>
    <row r="589" spans="1:12">
      <c r="A589">
        <v>201201</v>
      </c>
      <c r="B589">
        <f>'10-T-weights5'!B585</f>
        <v>5.0499999999999996E-2</v>
      </c>
      <c r="C589">
        <f t="shared" si="28"/>
        <v>4.6838319088319078E-2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9"/>
        <v>2.2638319088319078E-2</v>
      </c>
      <c r="L589">
        <f t="shared" si="27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8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5.8300000000000005E-2</v>
      </c>
      <c r="K590">
        <f t="shared" si="29"/>
        <v>5.4638319088319086E-2</v>
      </c>
      <c r="L590">
        <f t="shared" si="27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8"/>
        <v>2.7438319088319077E-2</v>
      </c>
      <c r="D591">
        <v>-4.8999999999999998E-3</v>
      </c>
      <c r="E591">
        <v>1.1200000000000002E-2</v>
      </c>
      <c r="F591">
        <v>-5.5000000000000005E-3</v>
      </c>
      <c r="G591">
        <v>6.8999999999999999E-3</v>
      </c>
      <c r="I591">
        <v>5.0700000000000002E-2</v>
      </c>
      <c r="K591">
        <f t="shared" si="29"/>
        <v>4.7038319088319083E-2</v>
      </c>
      <c r="L591">
        <f t="shared" si="27"/>
        <v>2.7592980733375898E-2</v>
      </c>
    </row>
    <row r="592" spans="1:12">
      <c r="A592">
        <v>201204</v>
      </c>
      <c r="B592">
        <f>'10-T-weights5'!B588</f>
        <v>-8.5000000000000006E-3</v>
      </c>
      <c r="C592">
        <f t="shared" si="28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9"/>
        <v>3.8319088319078379E-5</v>
      </c>
      <c r="L592">
        <f t="shared" si="27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8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9"/>
        <v>-5.2061680911680917E-2</v>
      </c>
      <c r="L593">
        <f t="shared" si="27"/>
        <v>3.9580775088602381E-2</v>
      </c>
    </row>
    <row r="594" spans="1:12">
      <c r="A594">
        <v>201206</v>
      </c>
      <c r="B594">
        <f>'10-T-weights5'!B590</f>
        <v>3.8900000000000004E-2</v>
      </c>
      <c r="C594">
        <f t="shared" si="28"/>
        <v>3.5238319088319085E-2</v>
      </c>
      <c r="D594">
        <v>8.1000000000000013E-3</v>
      </c>
      <c r="E594">
        <v>5.8999999999999999E-3</v>
      </c>
      <c r="F594">
        <v>-1.0700000000000001E-2</v>
      </c>
      <c r="G594">
        <v>4.4000000000000003E-3</v>
      </c>
      <c r="I594">
        <v>1.9800000000000002E-2</v>
      </c>
      <c r="K594">
        <f t="shared" si="29"/>
        <v>1.6138319088319079E-2</v>
      </c>
      <c r="L594">
        <f t="shared" si="27"/>
        <v>2.9987808082841946E-2</v>
      </c>
    </row>
    <row r="595" spans="1:12">
      <c r="A595">
        <v>201207</v>
      </c>
      <c r="B595">
        <f>'10-T-weights5'!B591</f>
        <v>7.9000000000000008E-3</v>
      </c>
      <c r="C595">
        <f t="shared" si="28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9"/>
        <v>2.1638319088319077E-2</v>
      </c>
      <c r="L595">
        <f t="shared" si="27"/>
        <v>7.9582543849228415E-3</v>
      </c>
    </row>
    <row r="596" spans="1:12">
      <c r="A596">
        <v>201208</v>
      </c>
      <c r="B596">
        <f>'10-T-weights5'!B592</f>
        <v>2.5599999999999998E-2</v>
      </c>
      <c r="C596">
        <f t="shared" si="28"/>
        <v>2.1938319088319076E-2</v>
      </c>
      <c r="D596">
        <v>4.5000000000000005E-3</v>
      </c>
      <c r="E596">
        <v>1.3000000000000001E-2</v>
      </c>
      <c r="F596">
        <v>-1.3300000000000001E-2</v>
      </c>
      <c r="G596">
        <v>-8.8000000000000005E-3</v>
      </c>
      <c r="I596">
        <v>3.9199999999999999E-2</v>
      </c>
      <c r="K596">
        <f t="shared" si="29"/>
        <v>3.553831908831908E-2</v>
      </c>
      <c r="L596">
        <f t="shared" si="27"/>
        <v>-2.8536854665548967E-2</v>
      </c>
    </row>
    <row r="597" spans="1:12">
      <c r="A597">
        <v>201209</v>
      </c>
      <c r="B597">
        <f>'10-T-weights5'!B593</f>
        <v>2.7400000000000001E-2</v>
      </c>
      <c r="C597">
        <f t="shared" si="28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9"/>
        <v>1.8538319088319079E-2</v>
      </c>
      <c r="L597">
        <f t="shared" si="27"/>
        <v>3.3485199660345813E-2</v>
      </c>
    </row>
    <row r="598" spans="1:12">
      <c r="A598">
        <v>201210</v>
      </c>
      <c r="B598">
        <f>'10-T-weights5'!B594</f>
        <v>-1.7500000000000002E-2</v>
      </c>
      <c r="C598">
        <f t="shared" si="28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9"/>
        <v>-6.3661680911680923E-2</v>
      </c>
      <c r="L598">
        <f t="shared" si="27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8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9"/>
        <v>1.2938319088319078E-2</v>
      </c>
      <c r="L599">
        <f t="shared" si="27"/>
        <v>4.5582695721012159E-2</v>
      </c>
    </row>
    <row r="600" spans="1:12">
      <c r="A600">
        <v>201212</v>
      </c>
      <c r="B600">
        <f>'10-T-weights5'!B596</f>
        <v>1.1899999999999999E-2</v>
      </c>
      <c r="C600">
        <f t="shared" si="28"/>
        <v>8.2383190883190769E-3</v>
      </c>
      <c r="D600">
        <v>1.9199999999999998E-2</v>
      </c>
      <c r="E600">
        <v>3.5299999999999998E-2</v>
      </c>
      <c r="F600">
        <v>-1.8600000000000002E-2</v>
      </c>
      <c r="G600">
        <v>8.6E-3</v>
      </c>
      <c r="I600">
        <v>1.9699999999999999E-2</v>
      </c>
      <c r="K600">
        <f t="shared" si="29"/>
        <v>1.6038319088319077E-2</v>
      </c>
      <c r="L600">
        <f t="shared" si="27"/>
        <v>-5.047676645177173E-3</v>
      </c>
    </row>
    <row r="601" spans="1:12">
      <c r="A601">
        <v>201301</v>
      </c>
      <c r="B601">
        <f>'10-T-weights5'!B597</f>
        <v>5.5700000000000006E-2</v>
      </c>
      <c r="C601">
        <f t="shared" si="28"/>
        <v>5.2038319088319088E-2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5.9000000000000004E-2</v>
      </c>
      <c r="K601">
        <f t="shared" si="29"/>
        <v>5.5338319088319085E-2</v>
      </c>
      <c r="L601">
        <f t="shared" si="27"/>
        <v>5.313383023020405E-2</v>
      </c>
    </row>
    <row r="602" spans="1:12">
      <c r="A602">
        <v>201302</v>
      </c>
      <c r="B602">
        <f>'10-T-weights5'!B598</f>
        <v>1.29E-2</v>
      </c>
      <c r="C602">
        <f t="shared" si="28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1.8600000000000002E-2</v>
      </c>
      <c r="K602">
        <f t="shared" si="29"/>
        <v>1.493831908831908E-2</v>
      </c>
      <c r="L602">
        <f t="shared" si="27"/>
        <v>9.6412318122435555E-3</v>
      </c>
    </row>
    <row r="603" spans="1:12">
      <c r="A603">
        <v>201303</v>
      </c>
      <c r="B603">
        <f>'10-T-weights5'!B599</f>
        <v>4.0300000000000002E-2</v>
      </c>
      <c r="C603">
        <f t="shared" si="28"/>
        <v>3.6638319088319084E-2</v>
      </c>
      <c r="D603">
        <v>8.6999999999999994E-3</v>
      </c>
      <c r="E603">
        <v>-2.3E-3</v>
      </c>
      <c r="F603">
        <v>1.3000000000000002E-3</v>
      </c>
      <c r="G603">
        <v>1.3700000000000002E-2</v>
      </c>
      <c r="I603">
        <v>5.4400000000000004E-2</v>
      </c>
      <c r="K603">
        <f t="shared" si="29"/>
        <v>5.0738319088319085E-2</v>
      </c>
      <c r="L603">
        <f t="shared" si="27"/>
        <v>8.2268475205955205E-2</v>
      </c>
    </row>
    <row r="604" spans="1:12">
      <c r="A604">
        <v>201304</v>
      </c>
      <c r="B604">
        <f>'10-T-weights5'!B600</f>
        <v>1.5500000000000002E-2</v>
      </c>
      <c r="C604">
        <f t="shared" si="28"/>
        <v>1.1838319088319079E-2</v>
      </c>
      <c r="D604">
        <v>-2.2400000000000003E-2</v>
      </c>
      <c r="E604">
        <v>5.0000000000000001E-3</v>
      </c>
      <c r="F604">
        <v>2.7000000000000001E-3</v>
      </c>
      <c r="G604">
        <v>3.9000000000000003E-3</v>
      </c>
      <c r="I604">
        <v>2.7000000000000001E-3</v>
      </c>
      <c r="K604">
        <f t="shared" si="29"/>
        <v>-9.6168091168092164E-4</v>
      </c>
      <c r="L604">
        <f t="shared" si="27"/>
        <v>1.0027157248502699E-2</v>
      </c>
    </row>
    <row r="605" spans="1:12">
      <c r="A605">
        <v>201305</v>
      </c>
      <c r="B605">
        <f>'10-T-weights5'!B601</f>
        <v>2.7999999999999997E-2</v>
      </c>
      <c r="C605">
        <f t="shared" si="28"/>
        <v>2.4338319088319075E-2</v>
      </c>
      <c r="D605">
        <v>2.0800000000000003E-2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9"/>
        <v>4.303831908831908E-2</v>
      </c>
      <c r="L605">
        <f t="shared" si="27"/>
        <v>-3.4321282333759327E-2</v>
      </c>
    </row>
    <row r="606" spans="1:12">
      <c r="A606">
        <v>201306</v>
      </c>
      <c r="B606">
        <f>'10-T-weights5'!B602</f>
        <v>-1.2E-2</v>
      </c>
      <c r="C606">
        <f t="shared" si="28"/>
        <v>-1.5661680911680922E-2</v>
      </c>
      <c r="D606">
        <v>1.5600000000000001E-2</v>
      </c>
      <c r="E606">
        <v>5.0000000000000001E-4</v>
      </c>
      <c r="F606">
        <v>-3.9000000000000003E-3</v>
      </c>
      <c r="G606">
        <v>1E-4</v>
      </c>
      <c r="I606">
        <v>-4.2000000000000003E-2</v>
      </c>
      <c r="K606">
        <f t="shared" si="29"/>
        <v>-4.5661680911680921E-2</v>
      </c>
      <c r="L606">
        <f t="shared" si="27"/>
        <v>-1.2321034213300081E-2</v>
      </c>
    </row>
    <row r="607" spans="1:12">
      <c r="A607">
        <v>201307</v>
      </c>
      <c r="B607">
        <f>'10-T-weights5'!B603</f>
        <v>5.6500000000000002E-2</v>
      </c>
      <c r="C607">
        <f t="shared" si="28"/>
        <v>5.2838319088319083E-2</v>
      </c>
      <c r="D607">
        <v>1.8100000000000002E-2</v>
      </c>
      <c r="E607">
        <v>5.6999999999999993E-3</v>
      </c>
      <c r="F607">
        <v>-1.3500000000000002E-2</v>
      </c>
      <c r="G607">
        <v>5.3E-3</v>
      </c>
      <c r="I607">
        <v>0.10050000000000001</v>
      </c>
      <c r="K607">
        <f t="shared" si="29"/>
        <v>9.683831908831908E-2</v>
      </c>
      <c r="L607">
        <f t="shared" si="27"/>
        <v>5.1597501226467835E-2</v>
      </c>
    </row>
    <row r="608" spans="1:12">
      <c r="A608">
        <v>201308</v>
      </c>
      <c r="B608">
        <f>'10-T-weights5'!B604</f>
        <v>-2.7099999999999999E-2</v>
      </c>
      <c r="C608">
        <f t="shared" si="28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9"/>
        <v>-3.1761680911680919E-2</v>
      </c>
      <c r="L608">
        <f t="shared" si="27"/>
        <v>-6.5159960233312636E-2</v>
      </c>
    </row>
    <row r="609" spans="1:12">
      <c r="A609">
        <v>201309</v>
      </c>
      <c r="B609">
        <f>'10-T-weights5'!B605</f>
        <v>3.7700000000000004E-2</v>
      </c>
      <c r="C609">
        <f t="shared" si="28"/>
        <v>3.4038319088319086E-2</v>
      </c>
      <c r="D609">
        <v>2.6499999999999999E-2</v>
      </c>
      <c r="E609">
        <v>-1.23E-2</v>
      </c>
      <c r="F609">
        <v>-5.6000000000000008E-3</v>
      </c>
      <c r="G609">
        <v>-1.3999999999999999E-2</v>
      </c>
      <c r="I609">
        <v>7.4300000000000005E-2</v>
      </c>
      <c r="K609">
        <f t="shared" si="29"/>
        <v>7.0638319088319079E-2</v>
      </c>
      <c r="L609">
        <f t="shared" si="27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8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9"/>
        <v>1.9538319088319076E-2</v>
      </c>
      <c r="L610">
        <f t="shared" si="27"/>
        <v>9.894225348192652E-2</v>
      </c>
    </row>
    <row r="611" spans="1:12">
      <c r="A611">
        <v>201311</v>
      </c>
      <c r="B611">
        <f>'10-T-weights5'!B607</f>
        <v>3.1300000000000001E-2</v>
      </c>
      <c r="C611">
        <f t="shared" si="28"/>
        <v>2.7638319088319079E-2</v>
      </c>
      <c r="D611">
        <v>1.3999999999999999E-2</v>
      </c>
      <c r="E611">
        <v>2.8000000000000004E-3</v>
      </c>
      <c r="F611">
        <v>1.6000000000000001E-3</v>
      </c>
      <c r="G611">
        <v>4.0000000000000002E-4</v>
      </c>
      <c r="I611">
        <v>3.39E-2</v>
      </c>
      <c r="K611">
        <f t="shared" si="29"/>
        <v>3.0238319088319077E-2</v>
      </c>
      <c r="L611">
        <f t="shared" si="27"/>
        <v>4.0053207974608561E-2</v>
      </c>
    </row>
    <row r="612" spans="1:12">
      <c r="A612">
        <v>201312</v>
      </c>
      <c r="B612">
        <f>'10-T-weights5'!B608</f>
        <v>2.81E-2</v>
      </c>
      <c r="C612">
        <f t="shared" si="28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9"/>
        <v>2.2138319088319078E-2</v>
      </c>
      <c r="L612">
        <f t="shared" si="27"/>
        <v>1.5007770019583748E-2</v>
      </c>
    </row>
    <row r="613" spans="1:12">
      <c r="A613">
        <v>201401</v>
      </c>
      <c r="B613">
        <f>'10-T-weights5'!B609</f>
        <v>-3.32E-2</v>
      </c>
      <c r="C613">
        <f t="shared" si="28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1.1000000000000001E-2</v>
      </c>
      <c r="K613">
        <f t="shared" si="29"/>
        <v>7.3383190883190789E-3</v>
      </c>
      <c r="L613">
        <f t="shared" si="27"/>
        <v>-0.13525716386018369</v>
      </c>
    </row>
    <row r="614" spans="1:12">
      <c r="A614">
        <v>201402</v>
      </c>
      <c r="B614">
        <f>'10-T-weights5'!B610</f>
        <v>4.6500000000000007E-2</v>
      </c>
      <c r="C614">
        <f t="shared" si="28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9"/>
        <v>6.1638319088319078E-2</v>
      </c>
      <c r="L614">
        <f t="shared" si="27"/>
        <v>2.8134174057104798E-2</v>
      </c>
    </row>
    <row r="615" spans="1:12">
      <c r="A615">
        <v>201403</v>
      </c>
      <c r="B615">
        <f>'10-T-weights5'!B611</f>
        <v>4.3E-3</v>
      </c>
      <c r="C615">
        <f t="shared" si="28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9"/>
        <v>-6.4161680911680924E-2</v>
      </c>
      <c r="L615">
        <f t="shared" si="27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8"/>
        <v>-5.561680911680922E-3</v>
      </c>
      <c r="D616">
        <v>-4.1299999999999996E-2</v>
      </c>
      <c r="E616">
        <v>1.1399999999999999E-2</v>
      </c>
      <c r="F616">
        <v>3.4500000000000003E-2</v>
      </c>
      <c r="G616">
        <v>1.03E-2</v>
      </c>
      <c r="I616">
        <v>-3.3799999999999997E-2</v>
      </c>
      <c r="K616">
        <f t="shared" si="29"/>
        <v>-3.7461680911680915E-2</v>
      </c>
      <c r="L616">
        <f t="shared" si="27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8"/>
        <v>1.6938319088319078E-2</v>
      </c>
      <c r="D617">
        <v>-1.89E-2</v>
      </c>
      <c r="E617">
        <v>-1.3000000000000002E-3</v>
      </c>
      <c r="F617">
        <v>5.0000000000000001E-4</v>
      </c>
      <c r="G617">
        <v>-1.01E-2</v>
      </c>
      <c r="I617">
        <v>3.9100000000000003E-2</v>
      </c>
      <c r="K617">
        <f t="shared" si="29"/>
        <v>3.5438319088319084E-2</v>
      </c>
      <c r="L617">
        <f t="shared" si="27"/>
        <v>-2.1223582570434264E-2</v>
      </c>
    </row>
    <row r="618" spans="1:12">
      <c r="A618">
        <v>201406</v>
      </c>
      <c r="B618">
        <f>'10-T-weights5'!B614</f>
        <v>2.6099999999999998E-2</v>
      </c>
      <c r="C618">
        <f t="shared" si="28"/>
        <v>2.2438319088319076E-2</v>
      </c>
      <c r="D618">
        <v>3.1000000000000003E-2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9"/>
        <v>5.273831908831908E-2</v>
      </c>
      <c r="L618">
        <f t="shared" si="27"/>
        <v>-4.1755733686568791E-2</v>
      </c>
    </row>
    <row r="619" spans="1:12">
      <c r="A619">
        <v>201407</v>
      </c>
      <c r="B619">
        <f>'10-T-weights5'!B615</f>
        <v>-2.0400000000000001E-2</v>
      </c>
      <c r="C619">
        <f t="shared" si="28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9"/>
        <v>-8.5616809116809221E-3</v>
      </c>
      <c r="L619">
        <f t="shared" si="27"/>
        <v>-2.3545287142767594E-2</v>
      </c>
    </row>
    <row r="620" spans="1:12">
      <c r="A620">
        <v>201408</v>
      </c>
      <c r="B620">
        <f>'10-T-weights5'!B616</f>
        <v>4.24E-2</v>
      </c>
      <c r="C620">
        <f t="shared" si="28"/>
        <v>3.8738319088319081E-2</v>
      </c>
      <c r="D620">
        <v>3.0000000000000001E-3</v>
      </c>
      <c r="E620">
        <v>-4.3E-3</v>
      </c>
      <c r="F620">
        <v>-6.4000000000000003E-3</v>
      </c>
      <c r="G620">
        <v>-6.8000000000000005E-3</v>
      </c>
      <c r="I620">
        <v>5.4300000000000001E-2</v>
      </c>
      <c r="K620">
        <f t="shared" si="29"/>
        <v>5.0638319088319082E-2</v>
      </c>
      <c r="L620">
        <f t="shared" si="27"/>
        <v>1.2486568124107464E-2</v>
      </c>
    </row>
    <row r="621" spans="1:12">
      <c r="A621">
        <v>201409</v>
      </c>
      <c r="B621">
        <f>'10-T-weights5'!B617</f>
        <v>-1.9699999999999999E-2</v>
      </c>
      <c r="C621">
        <f t="shared" si="28"/>
        <v>-2.3361680911680921E-2</v>
      </c>
      <c r="D621">
        <v>-3.7200000000000004E-2</v>
      </c>
      <c r="E621">
        <v>-1.3600000000000001E-2</v>
      </c>
      <c r="F621">
        <v>1.3000000000000001E-2</v>
      </c>
      <c r="G621">
        <v>-5.0000000000000001E-3</v>
      </c>
      <c r="I621">
        <v>-2.4700000000000003E-2</v>
      </c>
      <c r="K621">
        <f t="shared" si="29"/>
        <v>-2.8361680911680925E-2</v>
      </c>
      <c r="L621">
        <f t="shared" si="27"/>
        <v>-3.2008772700290865E-2</v>
      </c>
    </row>
    <row r="622" spans="1:12">
      <c r="A622">
        <v>201410</v>
      </c>
      <c r="B622">
        <f>'10-T-weights5'!B618</f>
        <v>2.52E-2</v>
      </c>
      <c r="C622">
        <f t="shared" si="28"/>
        <v>2.1538319088319078E-2</v>
      </c>
      <c r="D622">
        <v>3.7700000000000004E-2</v>
      </c>
      <c r="E622">
        <v>-1.8500000000000003E-2</v>
      </c>
      <c r="F622">
        <v>-5.0000000000000001E-3</v>
      </c>
      <c r="G622">
        <v>-1.4000000000000002E-3</v>
      </c>
      <c r="I622">
        <v>2.29E-2</v>
      </c>
      <c r="K622">
        <f t="shared" si="29"/>
        <v>1.9238319088319078E-2</v>
      </c>
      <c r="L622">
        <f t="shared" si="27"/>
        <v>4.1529543091170726E-2</v>
      </c>
    </row>
    <row r="623" spans="1:12">
      <c r="A623">
        <v>201411</v>
      </c>
      <c r="B623">
        <f>'10-T-weights5'!B619</f>
        <v>2.5499999999999998E-2</v>
      </c>
      <c r="C623">
        <f t="shared" si="28"/>
        <v>2.1838319088319076E-2</v>
      </c>
      <c r="D623">
        <v>-2.2400000000000003E-2</v>
      </c>
      <c r="E623">
        <v>-3.1200000000000002E-2</v>
      </c>
      <c r="F623">
        <v>1.5300000000000001E-2</v>
      </c>
      <c r="G623">
        <v>2.3E-3</v>
      </c>
      <c r="I623">
        <v>3.9600000000000003E-2</v>
      </c>
      <c r="K623">
        <f t="shared" si="29"/>
        <v>3.5938319088319085E-2</v>
      </c>
      <c r="L623">
        <f t="shared" si="27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8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9"/>
        <v>-2.6161680911680921E-2</v>
      </c>
      <c r="L624">
        <f t="shared" si="27"/>
        <v>9.0206335727460868E-3</v>
      </c>
    </row>
    <row r="625" spans="1:12">
      <c r="A625">
        <v>201501</v>
      </c>
      <c r="B625">
        <f>'10-T-weights5'!B621</f>
        <v>-3.1099999999999999E-2</v>
      </c>
      <c r="C625">
        <f t="shared" si="28"/>
        <v>-3.4761680911680921E-2</v>
      </c>
      <c r="D625">
        <v>-9.0000000000000011E-3</v>
      </c>
      <c r="E625">
        <v>-3.61E-2</v>
      </c>
      <c r="F625">
        <v>1.6200000000000003E-2</v>
      </c>
      <c r="G625">
        <v>-1.6799999999999999E-2</v>
      </c>
      <c r="I625">
        <v>6.7000000000000002E-3</v>
      </c>
      <c r="K625">
        <f t="shared" si="29"/>
        <v>3.0383190883190784E-3</v>
      </c>
      <c r="L625">
        <f t="shared" si="27"/>
        <v>-4.0492726024850961E-2</v>
      </c>
    </row>
    <row r="626" spans="1:12">
      <c r="A626">
        <v>201502</v>
      </c>
      <c r="B626">
        <f>'10-T-weights5'!B622</f>
        <v>6.13E-2</v>
      </c>
      <c r="C626">
        <f t="shared" si="28"/>
        <v>5.7638319088319082E-2</v>
      </c>
      <c r="D626">
        <v>3.0000000000000001E-3</v>
      </c>
      <c r="E626">
        <v>-1.8500000000000003E-2</v>
      </c>
      <c r="F626">
        <v>-1.1200000000000002E-2</v>
      </c>
      <c r="G626">
        <v>-1.78E-2</v>
      </c>
      <c r="I626">
        <v>6.1900000000000004E-2</v>
      </c>
      <c r="K626">
        <f t="shared" si="29"/>
        <v>5.8238319088319085E-2</v>
      </c>
      <c r="L626">
        <f t="shared" si="27"/>
        <v>-1.0379248689300694E-3</v>
      </c>
    </row>
    <row r="627" spans="1:12">
      <c r="A627">
        <v>201503</v>
      </c>
      <c r="B627">
        <f>'10-T-weights5'!B623</f>
        <v>-1.1200000000000002E-2</v>
      </c>
      <c r="C627">
        <f t="shared" si="28"/>
        <v>-1.4861680911680924E-2</v>
      </c>
      <c r="D627">
        <v>3.1000000000000003E-2</v>
      </c>
      <c r="E627">
        <v>-4.0999999999999995E-3</v>
      </c>
      <c r="F627">
        <v>1.6000000000000001E-3</v>
      </c>
      <c r="G627">
        <v>-5.4000000000000003E-3</v>
      </c>
      <c r="I627">
        <v>-9.9000000000000008E-3</v>
      </c>
      <c r="K627">
        <f t="shared" si="29"/>
        <v>-1.3561680911680923E-2</v>
      </c>
      <c r="L627">
        <f t="shared" si="27"/>
        <v>-3.5159434973400291E-3</v>
      </c>
    </row>
    <row r="628" spans="1:12">
      <c r="A628">
        <v>201504</v>
      </c>
      <c r="B628">
        <f>'10-T-weights5'!B624</f>
        <v>5.8999999999999999E-3</v>
      </c>
      <c r="C628">
        <f t="shared" si="28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9"/>
        <v>-2.8161680911680923E-2</v>
      </c>
      <c r="L628">
        <f t="shared" si="27"/>
        <v>-4.3243505121627529E-2</v>
      </c>
    </row>
    <row r="629" spans="1:12">
      <c r="A629">
        <v>201505</v>
      </c>
      <c r="B629">
        <f>'10-T-weights5'!B625</f>
        <v>1.3600000000000001E-2</v>
      </c>
      <c r="C629">
        <f t="shared" si="28"/>
        <v>9.9383190883190788E-3</v>
      </c>
      <c r="D629">
        <v>8.1000000000000013E-3</v>
      </c>
      <c r="E629">
        <v>-1.1000000000000001E-2</v>
      </c>
      <c r="F629">
        <v>-1.78E-2</v>
      </c>
      <c r="G629">
        <v>-6.9999999999999993E-3</v>
      </c>
      <c r="I629">
        <v>4.5999999999999999E-2</v>
      </c>
      <c r="K629">
        <f t="shared" si="29"/>
        <v>4.233831908831908E-2</v>
      </c>
      <c r="L629">
        <f t="shared" si="27"/>
        <v>-3.2008943727960204E-2</v>
      </c>
    </row>
    <row r="630" spans="1:12">
      <c r="A630">
        <v>201506</v>
      </c>
      <c r="B630">
        <f>'10-T-weights5'!B626</f>
        <v>-1.5300000000000001E-2</v>
      </c>
      <c r="C630">
        <f t="shared" si="28"/>
        <v>-1.8961680911680923E-2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9"/>
        <v>-9.0616809116809225E-3</v>
      </c>
      <c r="L630">
        <f t="shared" si="27"/>
        <v>-2.9177574833440308E-2</v>
      </c>
    </row>
    <row r="631" spans="1:12">
      <c r="A631">
        <v>201507</v>
      </c>
      <c r="B631">
        <f>'10-T-weights5'!B627</f>
        <v>1.54E-2</v>
      </c>
      <c r="C631">
        <f t="shared" si="28"/>
        <v>1.1738319088319078E-2</v>
      </c>
      <c r="D631">
        <v>-4.5899999999999996E-2</v>
      </c>
      <c r="E631">
        <v>-4.0700000000000007E-2</v>
      </c>
      <c r="F631">
        <v>3.4000000000000002E-3</v>
      </c>
      <c r="G631">
        <v>-2.4799999999999999E-2</v>
      </c>
      <c r="I631">
        <v>1.9300000000000001E-2</v>
      </c>
      <c r="K631">
        <f t="shared" si="29"/>
        <v>1.5638319088319079E-2</v>
      </c>
      <c r="L631">
        <f t="shared" si="27"/>
        <v>-6.2344959578215696E-2</v>
      </c>
    </row>
    <row r="632" spans="1:12">
      <c r="A632">
        <v>201508</v>
      </c>
      <c r="B632">
        <f>'10-T-weights5'!B628</f>
        <v>-6.0400000000000002E-2</v>
      </c>
      <c r="C632">
        <f t="shared" si="28"/>
        <v>-6.4061680911680921E-2</v>
      </c>
      <c r="D632">
        <v>2.7000000000000001E-3</v>
      </c>
      <c r="E632">
        <v>2.7999999999999997E-2</v>
      </c>
      <c r="F632">
        <v>6.4000000000000003E-3</v>
      </c>
      <c r="G632">
        <v>1.26E-2</v>
      </c>
      <c r="I632">
        <v>-6.4299999999999996E-2</v>
      </c>
      <c r="K632">
        <f t="shared" si="29"/>
        <v>-6.7961680911680922E-2</v>
      </c>
      <c r="L632">
        <f t="shared" si="27"/>
        <v>-2.8160515107589129E-2</v>
      </c>
    </row>
    <row r="633" spans="1:12">
      <c r="A633">
        <v>201509</v>
      </c>
      <c r="B633">
        <f>'10-T-weights5'!B629</f>
        <v>-3.0699999999999998E-2</v>
      </c>
      <c r="C633">
        <f t="shared" si="28"/>
        <v>-3.4361680911680917E-2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-3.2100000000000004E-2</v>
      </c>
      <c r="K633">
        <f t="shared" si="29"/>
        <v>-3.5761680911680922E-2</v>
      </c>
      <c r="L633">
        <f t="shared" si="27"/>
        <v>-3.6652980007047559E-2</v>
      </c>
    </row>
    <row r="634" spans="1:12">
      <c r="A634">
        <v>201510</v>
      </c>
      <c r="B634">
        <f>'10-T-weights5'!B630</f>
        <v>7.7499999999999999E-2</v>
      </c>
      <c r="C634">
        <f t="shared" si="28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9"/>
        <v>6.5638319088319075E-2</v>
      </c>
      <c r="L634">
        <f t="shared" si="27"/>
        <v>9.171407106295415E-2</v>
      </c>
    </row>
    <row r="635" spans="1:12">
      <c r="A635">
        <v>201511</v>
      </c>
      <c r="B635">
        <f>'10-T-weights5'!B631</f>
        <v>5.6000000000000008E-3</v>
      </c>
      <c r="C635">
        <f t="shared" si="28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9"/>
        <v>9.4383190883190783E-3</v>
      </c>
      <c r="L635">
        <f t="shared" si="27"/>
        <v>-5.2321019573904559E-2</v>
      </c>
    </row>
    <row r="636" spans="1:12">
      <c r="A636">
        <v>201512</v>
      </c>
      <c r="B636">
        <f>'10-T-weights5'!B632</f>
        <v>-2.1600000000000001E-2</v>
      </c>
      <c r="C636">
        <f t="shared" si="28"/>
        <v>-2.5261680911680923E-2</v>
      </c>
      <c r="D636">
        <v>-2.9700000000000004E-2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9"/>
        <v>-1.5761680911680922E-2</v>
      </c>
      <c r="L636">
        <f t="shared" si="27"/>
        <v>-2.5756677626650768E-2</v>
      </c>
    </row>
    <row r="637" spans="1:12">
      <c r="A637">
        <v>201601</v>
      </c>
      <c r="B637">
        <f>'10-T-weights5'!B633</f>
        <v>-5.7599999999999991E-2</v>
      </c>
      <c r="C637">
        <f t="shared" si="28"/>
        <v>-6.126168091168091E-2</v>
      </c>
      <c r="D637">
        <v>-3.4200000000000001E-2</v>
      </c>
      <c r="E637">
        <v>2.06E-2</v>
      </c>
      <c r="F637">
        <v>2.8399999999999998E-2</v>
      </c>
      <c r="G637">
        <v>3.09E-2</v>
      </c>
      <c r="I637">
        <v>-6.2400000000000004E-2</v>
      </c>
      <c r="K637">
        <f t="shared" si="29"/>
        <v>-6.6061680911680923E-2</v>
      </c>
      <c r="L637">
        <f t="shared" si="27"/>
        <v>4.2374949842221822E-2</v>
      </c>
    </row>
    <row r="638" spans="1:12">
      <c r="A638">
        <v>201602</v>
      </c>
      <c r="B638">
        <f>'10-T-weights5'!B634</f>
        <v>-5.0000000000000012E-4</v>
      </c>
      <c r="C638">
        <f t="shared" si="28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9"/>
        <v>-3.5961680911680921E-2</v>
      </c>
      <c r="L638">
        <f t="shared" si="27"/>
        <v>0.11825494213193093</v>
      </c>
    </row>
    <row r="639" spans="1:12">
      <c r="A639">
        <v>201603</v>
      </c>
      <c r="B639">
        <f>'10-T-weights5'!B635</f>
        <v>6.9800000000000001E-2</v>
      </c>
      <c r="C639">
        <f t="shared" si="28"/>
        <v>6.6138319088319075E-2</v>
      </c>
      <c r="D639">
        <v>1.01E-2</v>
      </c>
      <c r="E639">
        <v>1.1000000000000001E-2</v>
      </c>
      <c r="F639">
        <v>7.4000000000000003E-3</v>
      </c>
      <c r="G639">
        <v>-2.0000000000000001E-4</v>
      </c>
      <c r="I639">
        <v>5.8400000000000001E-2</v>
      </c>
      <c r="K639">
        <f t="shared" si="29"/>
        <v>5.4738319088319082E-2</v>
      </c>
      <c r="L639">
        <f t="shared" si="27"/>
        <v>8.1847877119652176E-2</v>
      </c>
    </row>
    <row r="640" spans="1:12">
      <c r="A640">
        <v>201604</v>
      </c>
      <c r="B640">
        <f>'10-T-weights5'!B636</f>
        <v>9.1999999999999998E-3</v>
      </c>
      <c r="C640">
        <f t="shared" si="28"/>
        <v>5.5383190883190776E-3</v>
      </c>
      <c r="D640">
        <v>1.15E-2</v>
      </c>
      <c r="E640">
        <v>3.2100000000000004E-2</v>
      </c>
      <c r="F640">
        <v>-2.92E-2</v>
      </c>
      <c r="G640">
        <v>1.9E-2</v>
      </c>
      <c r="I640">
        <v>-1.6E-2</v>
      </c>
      <c r="K640">
        <f t="shared" si="29"/>
        <v>-1.9661680911680923E-2</v>
      </c>
      <c r="L640">
        <f t="shared" si="27"/>
        <v>-3.9088393575820446E-3</v>
      </c>
    </row>
    <row r="641" spans="1:12">
      <c r="A641">
        <v>201605</v>
      </c>
      <c r="B641">
        <f>'10-T-weights5'!B637</f>
        <v>1.7899999999999999E-2</v>
      </c>
      <c r="C641">
        <f t="shared" si="28"/>
        <v>1.4238319088319077E-2</v>
      </c>
      <c r="D641">
        <v>-6.4000000000000003E-3</v>
      </c>
      <c r="E641">
        <v>-1.66E-2</v>
      </c>
      <c r="F641">
        <v>-1.1000000000000001E-2</v>
      </c>
      <c r="G641">
        <v>-2.4799999999999999E-2</v>
      </c>
      <c r="I641">
        <v>3.6200000000000003E-2</v>
      </c>
      <c r="K641">
        <f t="shared" si="29"/>
        <v>3.2538319088319084E-2</v>
      </c>
      <c r="L641">
        <f t="shared" si="27"/>
        <v>-6.9788608644226702E-2</v>
      </c>
    </row>
    <row r="642" spans="1:12">
      <c r="A642">
        <v>201606</v>
      </c>
      <c r="B642">
        <f>'10-T-weights5'!B638</f>
        <v>-3.0000000000000003E-4</v>
      </c>
      <c r="C642">
        <f t="shared" si="28"/>
        <v>-3.9616809116809221E-3</v>
      </c>
      <c r="D642">
        <v>4.4000000000000003E-3</v>
      </c>
      <c r="E642">
        <v>-1.4499999999999999E-2</v>
      </c>
      <c r="F642">
        <v>1.4800000000000001E-2</v>
      </c>
      <c r="G642">
        <v>1.9400000000000001E-2</v>
      </c>
      <c r="I642">
        <v>8.8000000000000005E-3</v>
      </c>
      <c r="K642">
        <f t="shared" si="29"/>
        <v>5.1383190883190783E-3</v>
      </c>
      <c r="L642">
        <f t="shared" si="27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8"/>
        <v>3.603831908831908E-2</v>
      </c>
      <c r="D643">
        <v>2.4799999999999999E-2</v>
      </c>
      <c r="E643">
        <v>-1.3100000000000001E-2</v>
      </c>
      <c r="F643">
        <v>1.24E-2</v>
      </c>
      <c r="G643">
        <v>-1.1899999999999999E-2</v>
      </c>
      <c r="I643">
        <v>4.2300000000000004E-2</v>
      </c>
      <c r="K643">
        <f t="shared" si="29"/>
        <v>3.8638319088319086E-2</v>
      </c>
      <c r="L643">
        <f t="shared" si="27"/>
        <v>4.9793195080113359E-2</v>
      </c>
    </row>
    <row r="644" spans="1:12">
      <c r="A644">
        <v>201608</v>
      </c>
      <c r="B644">
        <f>'10-T-weights5'!B640</f>
        <v>5.0999999999999995E-3</v>
      </c>
      <c r="C644">
        <f t="shared" si="28"/>
        <v>1.4383190883190777E-3</v>
      </c>
      <c r="D644">
        <v>1.6899999999999998E-2</v>
      </c>
      <c r="E644">
        <v>3.1600000000000003E-2</v>
      </c>
      <c r="F644">
        <v>-1.89E-2</v>
      </c>
      <c r="G644">
        <v>-3.4000000000000002E-3</v>
      </c>
      <c r="I644">
        <v>-9.9000000000000008E-3</v>
      </c>
      <c r="K644">
        <f t="shared" si="29"/>
        <v>-1.3561680911680923E-2</v>
      </c>
      <c r="L644">
        <f t="shared" si="27"/>
        <v>-4.4320478593867479E-2</v>
      </c>
    </row>
    <row r="645" spans="1:12">
      <c r="A645">
        <v>201609</v>
      </c>
      <c r="B645">
        <f>'10-T-weights5'!B641</f>
        <v>2.7000000000000001E-3</v>
      </c>
      <c r="C645">
        <f t="shared" si="28"/>
        <v>-9.6168091168092164E-4</v>
      </c>
      <c r="D645">
        <v>1.8600000000000002E-2</v>
      </c>
      <c r="E645">
        <v>-1.2200000000000001E-2</v>
      </c>
      <c r="F645">
        <v>-2.23E-2</v>
      </c>
      <c r="G645">
        <v>2.0000000000000001E-4</v>
      </c>
      <c r="I645">
        <v>3.1200000000000002E-2</v>
      </c>
      <c r="K645">
        <f t="shared" si="29"/>
        <v>2.753831908831908E-2</v>
      </c>
      <c r="L645">
        <f t="shared" si="27"/>
        <v>-2.4614647390562131E-2</v>
      </c>
    </row>
    <row r="646" spans="1:12">
      <c r="A646">
        <v>201610</v>
      </c>
      <c r="B646">
        <f>'10-T-weights5'!B642</f>
        <v>-0.02</v>
      </c>
      <c r="C646">
        <f t="shared" si="28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9"/>
        <v>-5.6661680911680917E-2</v>
      </c>
      <c r="L646">
        <f t="shared" si="27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si="28"/>
        <v>4.5038319088319088E-2</v>
      </c>
      <c r="D647">
        <v>7.0400000000000004E-2</v>
      </c>
      <c r="E647">
        <v>8.199999999999999E-2</v>
      </c>
      <c r="F647">
        <v>-1.7000000000000001E-3</v>
      </c>
      <c r="G647">
        <v>3.7100000000000001E-2</v>
      </c>
      <c r="I647">
        <v>7.5400000000000009E-2</v>
      </c>
      <c r="K647">
        <f t="shared" si="29"/>
        <v>7.1738319088319083E-2</v>
      </c>
      <c r="L647">
        <f t="shared" ref="L647:L708" si="30">SUMPRODUCT($L$3:$P$3,C647:G647)</f>
        <v>0.15481768655828096</v>
      </c>
    </row>
    <row r="648" spans="1:12">
      <c r="A648">
        <v>201612</v>
      </c>
      <c r="B648">
        <f>'10-T-weights5'!B644</f>
        <v>1.8400000000000003E-2</v>
      </c>
      <c r="C648">
        <f t="shared" ref="C648:C708" si="31">B648-$H$3</f>
        <v>1.4738319088319081E-2</v>
      </c>
      <c r="D648">
        <v>4.0999999999999995E-3</v>
      </c>
      <c r="E648">
        <v>3.56E-2</v>
      </c>
      <c r="F648">
        <v>1.24E-2</v>
      </c>
      <c r="G648">
        <v>-2.6000000000000003E-3</v>
      </c>
      <c r="I648">
        <v>-4.1999999999999997E-3</v>
      </c>
      <c r="K648">
        <f t="shared" ref="K648:K708" si="32">I648-$H$3</f>
        <v>-7.8616809116809211E-3</v>
      </c>
      <c r="L648">
        <f t="shared" si="30"/>
        <v>1.9392553116014427E-2</v>
      </c>
    </row>
    <row r="649" spans="1:12">
      <c r="A649">
        <v>201701</v>
      </c>
      <c r="B649">
        <f>'10-T-weights5'!B645</f>
        <v>1.9800000000000002E-2</v>
      </c>
      <c r="C649">
        <f t="shared" si="31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2"/>
        <v>3.2838319088319079E-2</v>
      </c>
      <c r="L649">
        <f t="shared" si="30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1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2"/>
        <v>-3.561680911680922E-3</v>
      </c>
      <c r="L650">
        <f t="shared" si="30"/>
        <v>-1.628962628578156E-2</v>
      </c>
    </row>
    <row r="651" spans="1:12">
      <c r="A651">
        <v>201703</v>
      </c>
      <c r="B651">
        <f>'10-T-weights5'!B647</f>
        <v>2E-3</v>
      </c>
      <c r="C651">
        <f t="shared" si="31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2"/>
        <v>1.5383190883190788E-3</v>
      </c>
      <c r="L651">
        <f t="shared" si="30"/>
        <v>3.8649606018583173E-3</v>
      </c>
    </row>
    <row r="652" spans="1:12">
      <c r="A652">
        <v>201704</v>
      </c>
      <c r="B652">
        <f>'10-T-weights5'!B648</f>
        <v>1.1400000000000002E-2</v>
      </c>
      <c r="C652">
        <f t="shared" si="31"/>
        <v>7.7383190883190799E-3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2"/>
        <v>-1.261680911680922E-3</v>
      </c>
      <c r="L652">
        <f t="shared" si="30"/>
        <v>1.2663342990630634E-2</v>
      </c>
    </row>
    <row r="653" spans="1:12">
      <c r="A653">
        <v>201705</v>
      </c>
      <c r="B653">
        <f>'10-T-weights5'!B649</f>
        <v>1.12E-2</v>
      </c>
      <c r="C653">
        <f t="shared" si="31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2"/>
        <v>3.1438319088319081E-2</v>
      </c>
      <c r="L653">
        <f t="shared" si="30"/>
        <v>-2.7557696039787721E-2</v>
      </c>
    </row>
    <row r="654" spans="1:12">
      <c r="A654">
        <v>201706</v>
      </c>
      <c r="B654">
        <f>'10-T-weights5'!B650</f>
        <v>8.4000000000000012E-3</v>
      </c>
      <c r="C654">
        <f t="shared" si="31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2"/>
        <v>4.8383190883190784E-3</v>
      </c>
      <c r="L654">
        <f t="shared" si="30"/>
        <v>-2.6141699146268835E-2</v>
      </c>
    </row>
    <row r="655" spans="1:12">
      <c r="A655">
        <v>201707</v>
      </c>
      <c r="B655">
        <f>'10-T-weights5'!B651</f>
        <v>1.9400000000000001E-2</v>
      </c>
      <c r="C655">
        <f t="shared" si="31"/>
        <v>1.5738319088319078E-2</v>
      </c>
      <c r="D655">
        <v>-1.6200000000000003E-2</v>
      </c>
      <c r="E655">
        <v>-2.2000000000000001E-3</v>
      </c>
      <c r="F655">
        <v>-5.8999999999999999E-3</v>
      </c>
      <c r="G655">
        <v>-1.6000000000000001E-3</v>
      </c>
      <c r="I655">
        <v>2.9900000000000003E-2</v>
      </c>
      <c r="K655">
        <f t="shared" si="32"/>
        <v>2.6238319088319081E-2</v>
      </c>
      <c r="L655">
        <f t="shared" si="30"/>
        <v>-9.6462347988947889E-3</v>
      </c>
    </row>
    <row r="656" spans="1:12">
      <c r="A656">
        <v>201708</v>
      </c>
      <c r="B656">
        <f>'10-T-weights5'!B652</f>
        <v>2.5000000000000001E-3</v>
      </c>
      <c r="C656">
        <f t="shared" si="31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1.4000000000000002E-3</v>
      </c>
      <c r="K656">
        <f t="shared" si="32"/>
        <v>-2.2616809116809216E-3</v>
      </c>
      <c r="L656">
        <f t="shared" si="30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1"/>
        <v>2.2338319088319077E-2</v>
      </c>
      <c r="D657">
        <v>4.7400000000000005E-2</v>
      </c>
      <c r="E657">
        <v>3.09E-2</v>
      </c>
      <c r="F657">
        <v>-1.4999999999999999E-2</v>
      </c>
      <c r="G657">
        <v>1.6299999999999999E-2</v>
      </c>
      <c r="I657">
        <v>4.2300000000000004E-2</v>
      </c>
      <c r="K657">
        <f t="shared" si="32"/>
        <v>3.8638319088319086E-2</v>
      </c>
      <c r="L657">
        <f t="shared" si="30"/>
        <v>5.713665704120599E-2</v>
      </c>
    </row>
    <row r="658" spans="1:12">
      <c r="A658">
        <v>201710</v>
      </c>
      <c r="B658">
        <f>'10-T-weights5'!B654</f>
        <v>2.3400000000000001E-2</v>
      </c>
      <c r="C658">
        <f t="shared" si="31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5.6600000000000004E-2</v>
      </c>
      <c r="K658">
        <f t="shared" si="32"/>
        <v>5.2938319088319086E-2</v>
      </c>
      <c r="L658">
        <f t="shared" si="30"/>
        <v>-6.4162869697062419E-2</v>
      </c>
    </row>
    <row r="659" spans="1:12">
      <c r="A659">
        <v>201711</v>
      </c>
      <c r="B659">
        <f>'10-T-weights5'!B655</f>
        <v>3.2000000000000001E-2</v>
      </c>
      <c r="C659">
        <f t="shared" si="31"/>
        <v>2.8338319088319078E-2</v>
      </c>
      <c r="D659">
        <v>-3.4999999999999996E-3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2"/>
        <v>2.6338319088319077E-2</v>
      </c>
      <c r="L659">
        <f t="shared" si="30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1"/>
        <v>7.8383190883190776E-3</v>
      </c>
      <c r="D660">
        <v>-1.0700000000000001E-2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2"/>
        <v>-9.6616809116809223E-3</v>
      </c>
      <c r="L660">
        <f t="shared" si="30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1"/>
        <v>5.3138319088319085E-2</v>
      </c>
      <c r="D661">
        <v>-3.2500000000000001E-2</v>
      </c>
      <c r="E661">
        <v>-1.3600000000000001E-2</v>
      </c>
      <c r="F661">
        <v>-7.1999999999999998E-3</v>
      </c>
      <c r="G661">
        <v>-1.0500000000000001E-2</v>
      </c>
      <c r="I661">
        <v>0.11840000000000001</v>
      </c>
      <c r="K661">
        <f t="shared" si="32"/>
        <v>0.11473831908831908</v>
      </c>
      <c r="L661">
        <f t="shared" si="30"/>
        <v>-4.7335216845524643E-3</v>
      </c>
    </row>
    <row r="662" spans="1:12">
      <c r="A662">
        <v>201802</v>
      </c>
      <c r="B662">
        <f>'10-T-weights5'!B658</f>
        <v>-3.5400000000000001E-2</v>
      </c>
      <c r="C662">
        <f t="shared" si="31"/>
        <v>-3.906168091168092E-2</v>
      </c>
      <c r="D662">
        <v>3.3000000000000004E-3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2"/>
        <v>-1.8061680911680922E-2</v>
      </c>
      <c r="L662">
        <f t="shared" si="30"/>
        <v>-8.5868217388045703E-2</v>
      </c>
    </row>
    <row r="663" spans="1:12">
      <c r="A663">
        <v>201803</v>
      </c>
      <c r="B663">
        <f>'10-T-weights5'!B659</f>
        <v>-2.23E-2</v>
      </c>
      <c r="C663">
        <f t="shared" si="31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2"/>
        <v>-3.5561680911680917E-2</v>
      </c>
      <c r="L663">
        <f t="shared" si="30"/>
        <v>-9.3264361103002503E-3</v>
      </c>
    </row>
    <row r="664" spans="1:12">
      <c r="A664">
        <v>201804</v>
      </c>
      <c r="B664">
        <f>'10-T-weights5'!B660</f>
        <v>4.2000000000000006E-3</v>
      </c>
      <c r="C664">
        <f t="shared" si="31"/>
        <v>5.3831908831907882E-4</v>
      </c>
      <c r="D664">
        <v>9.0000000000000011E-3</v>
      </c>
      <c r="E664">
        <v>4.7999999999999996E-3</v>
      </c>
      <c r="F664">
        <v>-2.4100000000000003E-2</v>
      </c>
      <c r="G664">
        <v>1.2800000000000001E-2</v>
      </c>
      <c r="I664">
        <v>1.3899999999999999E-2</v>
      </c>
      <c r="K664">
        <f t="shared" si="32"/>
        <v>1.0238319088319077E-2</v>
      </c>
      <c r="L664">
        <f t="shared" si="30"/>
        <v>-6.4432932485798886E-3</v>
      </c>
    </row>
    <row r="665" spans="1:12">
      <c r="A665">
        <v>201805</v>
      </c>
      <c r="B665">
        <f>'10-T-weights5'!B661</f>
        <v>2.7900000000000001E-2</v>
      </c>
      <c r="C665">
        <f t="shared" si="31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2"/>
        <v>6.9638319088319078E-2</v>
      </c>
      <c r="L665">
        <f t="shared" si="30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1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2"/>
        <v>1.2383190883190781E-3</v>
      </c>
      <c r="L666">
        <f t="shared" si="30"/>
        <v>3.8866747210396395E-2</v>
      </c>
    </row>
    <row r="667" spans="1:12">
      <c r="A667">
        <v>201807</v>
      </c>
      <c r="B667">
        <f>'10-T-weights5'!B663</f>
        <v>3.3499999999999995E-2</v>
      </c>
      <c r="C667">
        <f t="shared" si="31"/>
        <v>2.9838319088319073E-2</v>
      </c>
      <c r="D667">
        <v>-1.9400000000000001E-2</v>
      </c>
      <c r="E667">
        <v>4.5000000000000005E-3</v>
      </c>
      <c r="F667">
        <v>1.52E-2</v>
      </c>
      <c r="G667">
        <v>3.7000000000000002E-3</v>
      </c>
      <c r="I667">
        <v>9.4999999999999998E-3</v>
      </c>
      <c r="K667">
        <f t="shared" si="32"/>
        <v>5.8383190883190775E-3</v>
      </c>
      <c r="L667">
        <f t="shared" si="30"/>
        <v>5.3132530800386282E-2</v>
      </c>
    </row>
    <row r="668" spans="1:12">
      <c r="A668">
        <v>201808</v>
      </c>
      <c r="B668">
        <f>'10-T-weights5'!B664</f>
        <v>3.5999999999999997E-2</v>
      </c>
      <c r="C668">
        <f t="shared" si="31"/>
        <v>3.2338319088319079E-2</v>
      </c>
      <c r="D668">
        <v>6.3E-3</v>
      </c>
      <c r="E668">
        <v>-3.9800000000000002E-2</v>
      </c>
      <c r="F668">
        <v>-3.0000000000000001E-3</v>
      </c>
      <c r="G668">
        <v>-2.6600000000000002E-2</v>
      </c>
      <c r="I668">
        <v>0.10009999999999999</v>
      </c>
      <c r="K668">
        <f t="shared" si="32"/>
        <v>9.6438319088319069E-2</v>
      </c>
      <c r="L668">
        <f t="shared" si="30"/>
        <v>-2.3470775552386219E-2</v>
      </c>
    </row>
    <row r="669" spans="1:12">
      <c r="A669">
        <v>201809</v>
      </c>
      <c r="B669">
        <f>'10-T-weights5'!B665</f>
        <v>2.0999999999999999E-3</v>
      </c>
      <c r="C669">
        <f t="shared" si="31"/>
        <v>-1.5616809116809219E-3</v>
      </c>
      <c r="D669">
        <v>-2.4900000000000002E-2</v>
      </c>
      <c r="E669">
        <v>-1.7000000000000001E-2</v>
      </c>
      <c r="F669">
        <v>6.7000000000000002E-3</v>
      </c>
      <c r="G669">
        <v>1.3000000000000001E-2</v>
      </c>
      <c r="I669">
        <v>-6.3E-3</v>
      </c>
      <c r="K669">
        <f t="shared" si="32"/>
        <v>-9.9616809116809223E-3</v>
      </c>
      <c r="L669">
        <f t="shared" si="30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1"/>
        <v>-7.856168091168092E-2</v>
      </c>
      <c r="D670">
        <v>-4.4600000000000001E-2</v>
      </c>
      <c r="E670">
        <v>3.4300000000000004E-2</v>
      </c>
      <c r="F670">
        <v>9.7999999999999997E-3</v>
      </c>
      <c r="G670">
        <v>3.6000000000000004E-2</v>
      </c>
      <c r="I670">
        <v>-0.15789999999999998</v>
      </c>
      <c r="K670">
        <f t="shared" si="32"/>
        <v>-0.16156168091168091</v>
      </c>
      <c r="L670">
        <f t="shared" si="30"/>
        <v>-8.8139149359282437E-3</v>
      </c>
    </row>
    <row r="671" spans="1:12">
      <c r="A671">
        <v>201811</v>
      </c>
      <c r="B671">
        <f>'10-T-weights5'!B667</f>
        <v>1.8699999999999998E-2</v>
      </c>
      <c r="C671">
        <f t="shared" si="31"/>
        <v>1.5038319088319076E-2</v>
      </c>
      <c r="D671">
        <v>-7.7000000000000002E-3</v>
      </c>
      <c r="E671">
        <v>2.6000000000000003E-3</v>
      </c>
      <c r="F671">
        <v>-6.5000000000000006E-3</v>
      </c>
      <c r="G671">
        <v>3.5999999999999999E-3</v>
      </c>
      <c r="I671">
        <v>1.6500000000000001E-2</v>
      </c>
      <c r="K671">
        <f t="shared" si="32"/>
        <v>1.2838319088319079E-2</v>
      </c>
      <c r="L671">
        <f t="shared" si="30"/>
        <v>6.1505557894589412E-3</v>
      </c>
    </row>
    <row r="672" spans="1:12">
      <c r="A672">
        <v>201812</v>
      </c>
      <c r="B672">
        <f>'10-T-weights5'!B668</f>
        <v>-9.3800000000000008E-2</v>
      </c>
      <c r="C672">
        <f t="shared" si="31"/>
        <v>-9.7461680911680934E-2</v>
      </c>
      <c r="D672">
        <v>-2.8999999999999998E-2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2"/>
        <v>-8.7061680911680928E-2</v>
      </c>
      <c r="L672">
        <f t="shared" si="30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1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2"/>
        <v>0.10473831908831907</v>
      </c>
      <c r="L673">
        <f t="shared" si="30"/>
        <v>5.0139404092255001E-2</v>
      </c>
    </row>
    <row r="674" spans="1:12">
      <c r="A674">
        <v>201902</v>
      </c>
      <c r="B674">
        <f>'10-T-weights5'!B670</f>
        <v>3.5800000000000005E-2</v>
      </c>
      <c r="C674">
        <f t="shared" si="31"/>
        <v>3.2138319088319087E-2</v>
      </c>
      <c r="D674">
        <v>1.72E-2</v>
      </c>
      <c r="E674">
        <v>-2.6800000000000001E-2</v>
      </c>
      <c r="F674">
        <v>2.0999999999999999E-3</v>
      </c>
      <c r="G674">
        <v>-1.6200000000000003E-2</v>
      </c>
      <c r="I674">
        <v>4.99E-2</v>
      </c>
      <c r="K674">
        <f t="shared" si="32"/>
        <v>4.6238319088319081E-2</v>
      </c>
      <c r="L674">
        <f t="shared" si="30"/>
        <v>1.5600721764608597E-2</v>
      </c>
    </row>
    <row r="675" spans="1:12">
      <c r="A675">
        <v>201903</v>
      </c>
      <c r="B675">
        <f>'10-T-weights5'!B671</f>
        <v>1.2900000000000002E-2</v>
      </c>
      <c r="C675">
        <f t="shared" si="31"/>
        <v>9.2383190883190795E-3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2"/>
        <v>1.2383190883190781E-3</v>
      </c>
      <c r="L675">
        <f t="shared" si="30"/>
        <v>-8.4527058895154522E-3</v>
      </c>
    </row>
    <row r="676" spans="1:12">
      <c r="A676">
        <v>201904</v>
      </c>
      <c r="B676">
        <f>'10-T-weights5'!B672</f>
        <v>4.1800000000000004E-2</v>
      </c>
      <c r="C676">
        <f t="shared" si="31"/>
        <v>3.8138319088319085E-2</v>
      </c>
      <c r="D676">
        <v>-1.1399999999999999E-2</v>
      </c>
      <c r="E676">
        <v>2.1700000000000001E-2</v>
      </c>
      <c r="F676">
        <v>1.6399999999999998E-2</v>
      </c>
      <c r="G676">
        <v>-2.2000000000000002E-2</v>
      </c>
      <c r="I676">
        <v>7.9000000000000008E-3</v>
      </c>
      <c r="K676">
        <f t="shared" si="32"/>
        <v>4.2383190883190786E-3</v>
      </c>
      <c r="L676">
        <f t="shared" si="30"/>
        <v>-6.0877057935771056E-3</v>
      </c>
    </row>
    <row r="677" spans="1:12">
      <c r="A677">
        <v>201905</v>
      </c>
      <c r="B677">
        <f>'10-T-weights5'!B673</f>
        <v>-6.7299999999999999E-2</v>
      </c>
      <c r="C677">
        <f t="shared" si="31"/>
        <v>-7.0961680911680924E-2</v>
      </c>
      <c r="D677">
        <v>-1.5800000000000002E-2</v>
      </c>
      <c r="E677">
        <v>-2.3700000000000002E-2</v>
      </c>
      <c r="F677">
        <v>-5.1000000000000004E-3</v>
      </c>
      <c r="G677">
        <v>1.7500000000000002E-2</v>
      </c>
      <c r="I677">
        <v>-3.5299999999999998E-2</v>
      </c>
      <c r="K677">
        <f t="shared" si="32"/>
        <v>-3.8961680911680917E-2</v>
      </c>
      <c r="L677">
        <f t="shared" si="30"/>
        <v>-3.516086218031151E-2</v>
      </c>
    </row>
    <row r="678" spans="1:12">
      <c r="A678">
        <v>201906</v>
      </c>
      <c r="B678">
        <f>'10-T-weights5'!B674</f>
        <v>7.1099999999999997E-2</v>
      </c>
      <c r="C678">
        <f t="shared" si="31"/>
        <v>6.7438319088319071E-2</v>
      </c>
      <c r="D678">
        <v>3.5999999999999999E-3</v>
      </c>
      <c r="E678">
        <v>-7.0999999999999995E-3</v>
      </c>
      <c r="F678">
        <v>8.6E-3</v>
      </c>
      <c r="G678">
        <v>-4.3E-3</v>
      </c>
      <c r="I678">
        <v>6.6200000000000009E-2</v>
      </c>
      <c r="K678">
        <f t="shared" si="32"/>
        <v>6.2538319088319083E-2</v>
      </c>
      <c r="L678">
        <f t="shared" si="30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1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2"/>
        <v>1.6238319088319079E-2</v>
      </c>
      <c r="L679">
        <f t="shared" si="30"/>
        <v>2.8912721196876759E-3</v>
      </c>
    </row>
    <row r="680" spans="1:12">
      <c r="A680">
        <v>201908</v>
      </c>
      <c r="B680">
        <f>'10-T-weights5'!B676</f>
        <v>-2.4199999999999999E-2</v>
      </c>
      <c r="C680">
        <f t="shared" si="31"/>
        <v>-2.7861680911680922E-2</v>
      </c>
      <c r="D680">
        <v>-3.2199999999999999E-2</v>
      </c>
      <c r="E680">
        <v>-4.8899999999999999E-2</v>
      </c>
      <c r="F680">
        <v>5.5000000000000005E-3</v>
      </c>
      <c r="G680">
        <v>-7.0999999999999995E-3</v>
      </c>
      <c r="I680">
        <v>-3.0999999999999999E-3</v>
      </c>
      <c r="K680">
        <f t="shared" si="32"/>
        <v>-6.7616809116809217E-3</v>
      </c>
      <c r="L680">
        <f t="shared" si="30"/>
        <v>-3.8416772368463699E-2</v>
      </c>
    </row>
    <row r="681" spans="1:12">
      <c r="A681">
        <v>201909</v>
      </c>
      <c r="B681">
        <f>'10-T-weights5'!B677</f>
        <v>1.61E-2</v>
      </c>
      <c r="C681">
        <f t="shared" si="31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-3.0299999999999997E-2</v>
      </c>
      <c r="K681">
        <f t="shared" si="32"/>
        <v>-3.3961680911680919E-2</v>
      </c>
      <c r="L681">
        <f t="shared" si="30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1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-5.5000000000000005E-3</v>
      </c>
      <c r="K682">
        <f t="shared" si="32"/>
        <v>-9.1616809116809219E-3</v>
      </c>
      <c r="L682">
        <f t="shared" si="30"/>
        <v>9.5867553101540853E-3</v>
      </c>
    </row>
    <row r="683" spans="1:12">
      <c r="A683">
        <v>201911</v>
      </c>
      <c r="B683">
        <f>'10-T-weights5'!B679</f>
        <v>3.9900000000000005E-2</v>
      </c>
      <c r="C683">
        <f t="shared" si="31"/>
        <v>3.6238319088319086E-2</v>
      </c>
      <c r="D683">
        <v>4.8999999999999998E-3</v>
      </c>
      <c r="E683">
        <v>-2.0899999999999998E-2</v>
      </c>
      <c r="F683">
        <v>-1.6399999999999998E-2</v>
      </c>
      <c r="G683">
        <v>-1.2E-2</v>
      </c>
      <c r="I683">
        <v>3.5700000000000003E-2</v>
      </c>
      <c r="K683">
        <f t="shared" si="32"/>
        <v>3.2038319088319084E-2</v>
      </c>
      <c r="L683">
        <f t="shared" si="30"/>
        <v>-1.4515161659908533E-2</v>
      </c>
    </row>
    <row r="684" spans="1:12">
      <c r="A684">
        <v>201912</v>
      </c>
      <c r="B684">
        <f>'10-T-weights5'!B680</f>
        <v>2.9100000000000001E-2</v>
      </c>
      <c r="C684">
        <f t="shared" si="31"/>
        <v>2.5438319088319079E-2</v>
      </c>
      <c r="D684">
        <v>9.4999999999999998E-3</v>
      </c>
      <c r="E684">
        <v>1.8000000000000002E-2</v>
      </c>
      <c r="F684">
        <v>-1E-4</v>
      </c>
      <c r="G684">
        <v>1.24E-2</v>
      </c>
      <c r="I684">
        <v>4.5999999999999999E-2</v>
      </c>
      <c r="K684">
        <f t="shared" si="32"/>
        <v>4.233831908831908E-2</v>
      </c>
      <c r="L684">
        <f t="shared" si="30"/>
        <v>5.7307459349508982E-2</v>
      </c>
    </row>
    <row r="685" spans="1:12">
      <c r="A685">
        <v>202001</v>
      </c>
      <c r="B685">
        <f>'10-T-weights5'!B681</f>
        <v>2.0000000000000009E-4</v>
      </c>
      <c r="C685">
        <f t="shared" si="31"/>
        <v>-3.4616809116809217E-3</v>
      </c>
      <c r="D685">
        <v>-4.4000000000000004E-2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2"/>
        <v>2.9338319088319079E-2</v>
      </c>
      <c r="L685">
        <f t="shared" si="30"/>
        <v>-9.2103429845037776E-2</v>
      </c>
    </row>
    <row r="686" spans="1:12">
      <c r="A686">
        <v>202002</v>
      </c>
      <c r="B686">
        <f>'10-T-weights5'!B682</f>
        <v>-8.0100000000000005E-2</v>
      </c>
      <c r="C686">
        <f t="shared" si="31"/>
        <v>-8.376168091168093E-2</v>
      </c>
      <c r="D686">
        <v>-1E-4</v>
      </c>
      <c r="E686">
        <v>-3.7499999999999999E-2</v>
      </c>
      <c r="F686">
        <v>-1.4499999999999999E-2</v>
      </c>
      <c r="G686">
        <v>-2.52E-2</v>
      </c>
      <c r="I686">
        <v>-6.5500000000000003E-2</v>
      </c>
      <c r="K686">
        <f t="shared" si="32"/>
        <v>-6.9161680911680928E-2</v>
      </c>
      <c r="L686">
        <f t="shared" si="30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1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2"/>
        <v>-9.8261680911680943E-2</v>
      </c>
      <c r="L687">
        <f t="shared" si="30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1"/>
        <v>0.13283831908831908</v>
      </c>
      <c r="D688">
        <v>2.6600000000000002E-2</v>
      </c>
      <c r="E688">
        <v>-1.3000000000000001E-2</v>
      </c>
      <c r="F688">
        <v>2.6400000000000003E-2</v>
      </c>
      <c r="G688">
        <v>-9.4000000000000004E-3</v>
      </c>
      <c r="I688">
        <v>0.1472</v>
      </c>
      <c r="K688">
        <f t="shared" si="32"/>
        <v>0.14353831908831907</v>
      </c>
      <c r="L688">
        <f t="shared" si="30"/>
        <v>0.18061612286496176</v>
      </c>
    </row>
    <row r="689" spans="1:12">
      <c r="A689">
        <v>202005</v>
      </c>
      <c r="B689">
        <f>'10-T-weights5'!B685</f>
        <v>5.5900000000000005E-2</v>
      </c>
      <c r="C689">
        <f t="shared" si="31"/>
        <v>5.2238319088319086E-2</v>
      </c>
      <c r="D689">
        <v>2.0199999999999999E-2</v>
      </c>
      <c r="E689">
        <v>-4.9200000000000001E-2</v>
      </c>
      <c r="F689">
        <v>9.1999999999999998E-3</v>
      </c>
      <c r="G689">
        <v>-3.2100000000000004E-2</v>
      </c>
      <c r="I689">
        <v>6.6600000000000006E-2</v>
      </c>
      <c r="K689">
        <f t="shared" si="32"/>
        <v>6.2938319088319081E-2</v>
      </c>
      <c r="L689">
        <f t="shared" si="30"/>
        <v>1.7905616051909337E-2</v>
      </c>
    </row>
    <row r="690" spans="1:12">
      <c r="A690">
        <v>202006</v>
      </c>
      <c r="B690">
        <f>'10-T-weights5'!B686</f>
        <v>2.47E-2</v>
      </c>
      <c r="C690">
        <f t="shared" si="31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2"/>
        <v>7.6538319088319068E-2</v>
      </c>
      <c r="L690">
        <f t="shared" si="30"/>
        <v>5.8387013927187717E-2</v>
      </c>
    </row>
    <row r="691" spans="1:12">
      <c r="A691">
        <v>202007</v>
      </c>
      <c r="B691">
        <f>'10-T-weights5'!B687</f>
        <v>5.7799999999999997E-2</v>
      </c>
      <c r="C691">
        <f t="shared" si="31"/>
        <v>5.4138319088319078E-2</v>
      </c>
      <c r="D691">
        <v>-3.1699999999999999E-2</v>
      </c>
      <c r="E691">
        <v>-1.5300000000000001E-2</v>
      </c>
      <c r="F691">
        <v>3.5999999999999999E-3</v>
      </c>
      <c r="G691">
        <v>9.0000000000000011E-3</v>
      </c>
      <c r="I691">
        <v>7.9699999999999993E-2</v>
      </c>
      <c r="K691">
        <f t="shared" si="32"/>
        <v>7.6038319088319067E-2</v>
      </c>
      <c r="L691">
        <f t="shared" si="30"/>
        <v>6.9474746292474687E-2</v>
      </c>
    </row>
    <row r="692" spans="1:12">
      <c r="A692">
        <v>202008</v>
      </c>
      <c r="B692">
        <f>'10-T-weights5'!B688</f>
        <v>7.640000000000001E-2</v>
      </c>
      <c r="C692">
        <f t="shared" si="31"/>
        <v>7.2738319088319084E-2</v>
      </c>
      <c r="D692">
        <v>-9.1999999999999998E-3</v>
      </c>
      <c r="E692">
        <v>-2.9500000000000002E-2</v>
      </c>
      <c r="F692">
        <v>4.3600000000000007E-2</v>
      </c>
      <c r="G692">
        <v>-1.3500000000000002E-2</v>
      </c>
      <c r="I692">
        <v>0.11460000000000001</v>
      </c>
      <c r="K692">
        <f t="shared" si="32"/>
        <v>0.11093831908831908</v>
      </c>
      <c r="L692">
        <f t="shared" si="30"/>
        <v>0.12424542307057748</v>
      </c>
    </row>
    <row r="693" spans="1:12">
      <c r="A693">
        <v>202009</v>
      </c>
      <c r="B693">
        <f>'10-T-weights5'!B689</f>
        <v>-3.6199999999999996E-2</v>
      </c>
      <c r="C693">
        <f t="shared" si="31"/>
        <v>-3.9861680911680915E-2</v>
      </c>
      <c r="D693">
        <v>1E-4</v>
      </c>
      <c r="E693">
        <v>-2.58E-2</v>
      </c>
      <c r="F693">
        <v>-1.38E-2</v>
      </c>
      <c r="G693">
        <v>-1.8000000000000002E-2</v>
      </c>
      <c r="I693">
        <v>-6.0599999999999994E-2</v>
      </c>
      <c r="K693">
        <f t="shared" si="32"/>
        <v>-6.4261680911680913E-2</v>
      </c>
      <c r="L693">
        <f t="shared" si="30"/>
        <v>-0.10294199782755004</v>
      </c>
    </row>
    <row r="694" spans="1:12">
      <c r="A694">
        <v>202010</v>
      </c>
      <c r="B694">
        <f>'10-T-weights5'!B690</f>
        <v>-2.0900000000000002E-2</v>
      </c>
      <c r="C694">
        <f t="shared" si="31"/>
        <v>-2.4561680911680924E-2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2"/>
        <v>-4.1061680911680921E-2</v>
      </c>
      <c r="L694">
        <f t="shared" si="30"/>
        <v>-4.759786247702983E-2</v>
      </c>
    </row>
    <row r="695" spans="1:12">
      <c r="A695">
        <v>202011</v>
      </c>
      <c r="B695">
        <f>'10-T-weights5'!B691</f>
        <v>0.12480000000000001</v>
      </c>
      <c r="C695">
        <f t="shared" si="31"/>
        <v>0.12113831908831908</v>
      </c>
      <c r="D695">
        <v>6.9900000000000004E-2</v>
      </c>
      <c r="E695">
        <v>2.1000000000000001E-2</v>
      </c>
      <c r="F695">
        <v>-2.1100000000000001E-2</v>
      </c>
      <c r="G695">
        <v>1.3600000000000001E-2</v>
      </c>
      <c r="I695">
        <v>0.10400000000000001</v>
      </c>
      <c r="K695">
        <f t="shared" si="32"/>
        <v>0.10033831908831908</v>
      </c>
      <c r="L695">
        <f t="shared" si="30"/>
        <v>0.15662333682342927</v>
      </c>
    </row>
    <row r="696" spans="1:12">
      <c r="A696">
        <v>202012</v>
      </c>
      <c r="B696">
        <f>'10-T-weights5'!B692</f>
        <v>4.6400000000000004E-2</v>
      </c>
      <c r="C696">
        <f t="shared" si="31"/>
        <v>4.2738319088319085E-2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2"/>
        <v>6.023831908831908E-2</v>
      </c>
      <c r="L696">
        <f t="shared" si="30"/>
        <v>4.1795719268273482E-2</v>
      </c>
    </row>
    <row r="697" spans="1:12">
      <c r="A697">
        <v>202101</v>
      </c>
      <c r="B697">
        <f>'10-T-weights5'!B693</f>
        <v>-2.9999999999999997E-4</v>
      </c>
      <c r="C697">
        <f t="shared" si="31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2"/>
        <v>1.7438319088319078E-2</v>
      </c>
      <c r="L697">
        <f t="shared" si="30"/>
        <v>8.8893835494478074E-2</v>
      </c>
    </row>
    <row r="698" spans="1:12">
      <c r="A698">
        <v>202102</v>
      </c>
      <c r="B698">
        <f>'10-T-weights5'!B694</f>
        <v>2.7799999999999998E-2</v>
      </c>
      <c r="C698">
        <f t="shared" si="31"/>
        <v>2.4138319088319076E-2</v>
      </c>
      <c r="D698">
        <v>4.53E-2</v>
      </c>
      <c r="E698">
        <v>7.2000000000000008E-2</v>
      </c>
      <c r="F698">
        <v>4.5000000000000005E-3</v>
      </c>
      <c r="G698">
        <v>-1.8700000000000001E-2</v>
      </c>
      <c r="I698">
        <v>-2.76E-2</v>
      </c>
      <c r="K698">
        <f t="shared" si="32"/>
        <v>-3.1261680911680918E-2</v>
      </c>
      <c r="L698">
        <f t="shared" si="30"/>
        <v>-1.5553498939990217E-2</v>
      </c>
    </row>
    <row r="699" spans="1:12">
      <c r="A699">
        <v>202103</v>
      </c>
      <c r="B699">
        <f>'10-T-weights5'!B695</f>
        <v>3.0800000000000001E-2</v>
      </c>
      <c r="C699">
        <f t="shared" si="31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2"/>
        <v>-4.3861680911680918E-2</v>
      </c>
      <c r="L699">
        <f t="shared" si="30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1"/>
        <v>4.5638319088319078E-2</v>
      </c>
      <c r="D700">
        <v>-3.1000000000000003E-2</v>
      </c>
      <c r="E700">
        <v>-9.4999999999999998E-3</v>
      </c>
      <c r="F700">
        <v>2.3E-2</v>
      </c>
      <c r="G700">
        <v>-2.81E-2</v>
      </c>
      <c r="I700">
        <v>4.4500000000000005E-2</v>
      </c>
      <c r="K700">
        <f t="shared" si="32"/>
        <v>4.0838319088319086E-2</v>
      </c>
      <c r="L700">
        <f t="shared" si="30"/>
        <v>-3.062954428227585E-3</v>
      </c>
    </row>
    <row r="701" spans="1:12">
      <c r="A701">
        <v>202105</v>
      </c>
      <c r="B701">
        <f>'10-T-weights5'!B697</f>
        <v>2.8999999999999998E-3</v>
      </c>
      <c r="C701">
        <f t="shared" si="31"/>
        <v>-7.6168091168092198E-4</v>
      </c>
      <c r="D701">
        <v>1.1899999999999999E-2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2"/>
        <v>-5.1461680911680921E-2</v>
      </c>
      <c r="L701">
        <f t="shared" si="30"/>
        <v>0.10458098354528522</v>
      </c>
    </row>
    <row r="702" spans="1:12">
      <c r="A702">
        <v>202106</v>
      </c>
      <c r="B702">
        <f>'10-T-weights5'!B698</f>
        <v>2.75E-2</v>
      </c>
      <c r="C702">
        <f t="shared" si="31"/>
        <v>2.3838319088319078E-2</v>
      </c>
      <c r="D702">
        <v>-2.8000000000000004E-3</v>
      </c>
      <c r="E702">
        <v>-7.8200000000000006E-2</v>
      </c>
      <c r="F702">
        <v>-2.1400000000000002E-2</v>
      </c>
      <c r="G702">
        <v>-1.0400000000000001E-2</v>
      </c>
      <c r="I702">
        <v>8.9399999999999993E-2</v>
      </c>
      <c r="K702">
        <f t="shared" si="32"/>
        <v>8.5738319088319068E-2</v>
      </c>
      <c r="L702">
        <f t="shared" si="30"/>
        <v>-1.4012729238588414E-2</v>
      </c>
    </row>
    <row r="703" spans="1:12">
      <c r="A703">
        <v>202107</v>
      </c>
      <c r="B703">
        <f>'10-T-weights5'!B699</f>
        <v>1.2700000000000001E-2</v>
      </c>
      <c r="C703">
        <f t="shared" si="31"/>
        <v>9.038319088319079E-3</v>
      </c>
      <c r="D703">
        <v>-4.5499999999999999E-2</v>
      </c>
      <c r="E703">
        <v>-1.7399999999999999E-2</v>
      </c>
      <c r="F703">
        <v>5.3700000000000005E-2</v>
      </c>
      <c r="G703">
        <v>-5.4000000000000003E-3</v>
      </c>
      <c r="I703">
        <v>-4.7000000000000002E-3</v>
      </c>
      <c r="K703">
        <f t="shared" si="32"/>
        <v>-8.3616809116809215E-3</v>
      </c>
      <c r="L703">
        <f t="shared" si="30"/>
        <v>7.1429808463449262E-2</v>
      </c>
    </row>
    <row r="704" spans="1:12">
      <c r="A704">
        <v>202108</v>
      </c>
      <c r="B704">
        <f>'10-T-weights5'!B700</f>
        <v>2.9100000000000001E-2</v>
      </c>
      <c r="C704">
        <f t="shared" si="31"/>
        <v>2.5438319088319079E-2</v>
      </c>
      <c r="D704">
        <v>-7.8000000000000005E-3</v>
      </c>
      <c r="E704">
        <v>-1.5E-3</v>
      </c>
      <c r="F704">
        <v>-2.6000000000000003E-3</v>
      </c>
      <c r="G704">
        <v>-1.66E-2</v>
      </c>
      <c r="I704">
        <v>2.9500000000000002E-2</v>
      </c>
      <c r="K704">
        <f t="shared" si="32"/>
        <v>2.583831908831908E-2</v>
      </c>
      <c r="L704">
        <f t="shared" si="30"/>
        <v>-2.817162363705732E-2</v>
      </c>
    </row>
    <row r="705" spans="1:12">
      <c r="A705">
        <v>202109</v>
      </c>
      <c r="B705">
        <f>'10-T-weights5'!B701</f>
        <v>-4.3700000000000003E-2</v>
      </c>
      <c r="C705">
        <f t="shared" si="31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2"/>
        <v>-3.5661680911680919E-2</v>
      </c>
      <c r="L705">
        <f t="shared" si="30"/>
        <v>-4.2374057940259446E-2</v>
      </c>
    </row>
    <row r="706" spans="1:12">
      <c r="A706">
        <v>202110</v>
      </c>
      <c r="B706">
        <f>'10-T-weights5'!B702</f>
        <v>6.6500000000000004E-2</v>
      </c>
      <c r="C706">
        <f t="shared" si="31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2"/>
        <v>3.5738319088319079E-2</v>
      </c>
      <c r="L706">
        <f t="shared" si="30"/>
        <v>3.8899233842555454E-2</v>
      </c>
    </row>
    <row r="707" spans="1:12">
      <c r="A707">
        <v>202111</v>
      </c>
      <c r="B707">
        <f>'10-T-weights5'!B703</f>
        <v>-1.5500000000000002E-2</v>
      </c>
      <c r="C707">
        <f t="shared" si="31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-2.5099999999999997E-2</v>
      </c>
      <c r="K707">
        <f t="shared" si="32"/>
        <v>-2.876168091168092E-2</v>
      </c>
      <c r="L707">
        <f t="shared" si="30"/>
        <v>0.15222445586633349</v>
      </c>
    </row>
    <row r="708" spans="1:12">
      <c r="A708">
        <v>202112</v>
      </c>
      <c r="B708">
        <f>'10-T-weights5'!B704</f>
        <v>3.1100000000000003E-2</v>
      </c>
      <c r="C708">
        <f t="shared" si="31"/>
        <v>2.743831908831908E-2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2"/>
        <v>-6.7361680911680932E-2</v>
      </c>
      <c r="L708">
        <f t="shared" si="30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E3E30-B29E-4CD8-B072-59E5B5B73A5E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7" t="s">
        <v>175</v>
      </c>
      <c r="N5" s="197"/>
    </row>
    <row r="6" spans="1:25" ht="15.75" thickBot="1">
      <c r="B6" t="s">
        <v>1166</v>
      </c>
      <c r="C6" t="s">
        <v>266</v>
      </c>
      <c r="D6" t="s">
        <v>117</v>
      </c>
      <c r="E6" t="s">
        <v>119</v>
      </c>
      <c r="F6" t="s">
        <v>120</v>
      </c>
      <c r="G6" t="s">
        <v>121</v>
      </c>
      <c r="J6" t="s">
        <v>958</v>
      </c>
      <c r="K6" t="s">
        <v>962</v>
      </c>
      <c r="M6" t="s">
        <v>962</v>
      </c>
      <c r="P6" t="s">
        <v>40</v>
      </c>
      <c r="Y6" s="30"/>
    </row>
    <row r="7" spans="1:25">
      <c r="A7">
        <v>196307</v>
      </c>
      <c r="B7">
        <f>'10-T-weights5'!B3</f>
        <v>-1.2000000000000001E-3</v>
      </c>
      <c r="C7">
        <f>B7-J7</f>
        <v>-3.9000000000000003E-3</v>
      </c>
      <c r="D7">
        <v>-4.4000000000000003E-3</v>
      </c>
      <c r="E7">
        <v>-8.8999999999999999E-3</v>
      </c>
      <c r="F7">
        <v>6.8000000000000005E-3</v>
      </c>
      <c r="G7">
        <v>-1.23E-2</v>
      </c>
      <c r="J7">
        <v>2.7000000000000001E-3</v>
      </c>
      <c r="K7">
        <v>4.3E-3</v>
      </c>
      <c r="M7">
        <f>K7-J7</f>
        <v>1.5999999999999999E-3</v>
      </c>
      <c r="P7" s="28"/>
      <c r="Q7" s="28" t="s">
        <v>56</v>
      </c>
      <c r="R7" s="28" t="s">
        <v>45</v>
      </c>
      <c r="S7" s="28" t="s">
        <v>57</v>
      </c>
      <c r="T7" s="28" t="s">
        <v>58</v>
      </c>
      <c r="U7" s="28" t="s">
        <v>59</v>
      </c>
      <c r="V7" s="28" t="s">
        <v>60</v>
      </c>
      <c r="W7" s="30"/>
      <c r="X7" s="30"/>
    </row>
    <row r="8" spans="1:25">
      <c r="A8">
        <v>196308</v>
      </c>
      <c r="B8">
        <f>'10-T-weights5'!B4</f>
        <v>5.3200000000000004E-2</v>
      </c>
      <c r="C8">
        <f t="shared" ref="C8:C71" si="0">B8-J8</f>
        <v>5.0700000000000002E-2</v>
      </c>
      <c r="D8">
        <v>-7.4999999999999997E-3</v>
      </c>
      <c r="E8">
        <v>1.6799999999999999E-2</v>
      </c>
      <c r="F8">
        <v>3.5999999999999999E-3</v>
      </c>
      <c r="G8">
        <v>-3.4000000000000002E-3</v>
      </c>
      <c r="J8">
        <v>2.5000000000000001E-3</v>
      </c>
      <c r="K8">
        <v>9.2300000000000007E-2</v>
      </c>
      <c r="M8">
        <f t="shared" ref="M8:M71" si="1">K8-J8</f>
        <v>8.9800000000000005E-2</v>
      </c>
      <c r="P8" t="s">
        <v>61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-1.3000000000000001E-2</v>
      </c>
      <c r="C9">
        <f t="shared" si="0"/>
        <v>-1.5700000000000002E-2</v>
      </c>
      <c r="D9">
        <v>-5.5000000000000005E-3</v>
      </c>
      <c r="E9">
        <v>8.0000000000000004E-4</v>
      </c>
      <c r="F9">
        <v>-7.0999999999999995E-3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62</v>
      </c>
      <c r="Q9">
        <v>1.0237040227387995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-1.3700000000000002E-2</v>
      </c>
      <c r="E10">
        <v>-1.4000000000000002E-3</v>
      </c>
      <c r="F10">
        <v>2.7999999999999997E-2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65</v>
      </c>
      <c r="Q10">
        <v>0.36264296174236377</v>
      </c>
      <c r="R10">
        <v>3.9778238710004785E-2</v>
      </c>
      <c r="S10">
        <v>9.1166168614487688</v>
      </c>
      <c r="T10">
        <v>8.1752089523723977E-19</v>
      </c>
      <c r="U10">
        <v>0.2845432328606517</v>
      </c>
      <c r="V10">
        <v>0.44074269062407584</v>
      </c>
    </row>
    <row r="11" spans="1:25">
      <c r="A11">
        <v>196311</v>
      </c>
      <c r="B11">
        <f>'10-T-weights5'!B7</f>
        <v>-5.8000000000000005E-3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2.3100000000000002E-2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116</v>
      </c>
      <c r="Q11">
        <v>-0.35309240659509833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-0.25138390005149086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123</v>
      </c>
      <c r="Q12">
        <v>-5.3729478217507454E-2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thickBot="1">
      <c r="A13">
        <v>196401</v>
      </c>
      <c r="B13">
        <f>'10-T-weights5'!B9</f>
        <v>2.5400000000000002E-2</v>
      </c>
      <c r="C13">
        <f t="shared" si="0"/>
        <v>2.2400000000000003E-2</v>
      </c>
      <c r="D13">
        <v>1.1000000000000001E-3</v>
      </c>
      <c r="E13">
        <v>1.47E-2</v>
      </c>
      <c r="F13">
        <v>1.7000000000000001E-3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124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1.8000000000000002E-2</v>
      </c>
      <c r="C14">
        <f t="shared" si="0"/>
        <v>1.5400000000000002E-2</v>
      </c>
      <c r="D14">
        <v>3.0000000000000001E-3</v>
      </c>
      <c r="E14">
        <v>2.7400000000000004E-2</v>
      </c>
      <c r="F14">
        <v>-5.0000000000000001E-4</v>
      </c>
      <c r="G14">
        <v>9.0000000000000011E-3</v>
      </c>
      <c r="J14">
        <v>2.6000000000000003E-3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1.3600000000000001E-2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-1.2700000000000001E-2</v>
      </c>
      <c r="G16">
        <v>-1.0400000000000001E-2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1.4000000000000002E-3</v>
      </c>
      <c r="J17">
        <v>2.6000000000000003E-3</v>
      </c>
      <c r="K17">
        <v>3.9700000000000006E-2</v>
      </c>
      <c r="M17">
        <f t="shared" si="1"/>
        <v>3.7100000000000008E-2</v>
      </c>
      <c r="P17" s="49"/>
    </row>
    <row r="18" spans="1:19">
      <c r="A18">
        <v>196406</v>
      </c>
      <c r="B18">
        <f>'10-T-weights5'!B14</f>
        <v>1.5700000000000002E-2</v>
      </c>
      <c r="C18">
        <f t="shared" si="0"/>
        <v>1.2700000000000003E-2</v>
      </c>
      <c r="D18">
        <v>3.0999999999999999E-3</v>
      </c>
      <c r="E18">
        <v>6.3E-3</v>
      </c>
      <c r="F18">
        <v>-2.8000000000000004E-3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2.0399999999999998E-2</v>
      </c>
      <c r="C19">
        <f t="shared" si="0"/>
        <v>1.7399999999999999E-2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3.3000000000000004E-3</v>
      </c>
      <c r="J20">
        <v>2.8000000000000004E-3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-3.3000000000000004E-3</v>
      </c>
      <c r="E21">
        <v>1.7000000000000001E-2</v>
      </c>
      <c r="F21">
        <v>-5.4000000000000003E-3</v>
      </c>
      <c r="G21">
        <v>6.1000000000000004E-3</v>
      </c>
      <c r="J21">
        <v>2.8000000000000004E-3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-2.6000000000000003E-3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1.0400000000000001E-2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2.8000000000000004E-3</v>
      </c>
      <c r="K25">
        <v>4.53E-2</v>
      </c>
      <c r="M25">
        <f t="shared" si="1"/>
        <v>4.2499999999999996E-2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2.6000000000000003E-3</v>
      </c>
      <c r="M27">
        <f t="shared" si="1"/>
        <v>-9.9999999999999959E-4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4.0999999999999995E-3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1.3000000000000002E-3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-4.2800000000000005E-2</v>
      </c>
      <c r="E30">
        <v>5.8999999999999999E-3</v>
      </c>
      <c r="F30">
        <v>2.0999999999999999E-3</v>
      </c>
      <c r="G30">
        <v>3.7000000000000002E-3</v>
      </c>
      <c r="J30">
        <v>3.4999999999999996E-3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1.0700000000000001E-2</v>
      </c>
      <c r="E31">
        <v>2.1400000000000002E-2</v>
      </c>
      <c r="F31">
        <v>-1.3700000000000002E-2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3.0600000000000002E-2</v>
      </c>
      <c r="C32">
        <f t="shared" si="0"/>
        <v>2.7300000000000001E-2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3.3000000000000004E-3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1.5700000000000002E-2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3.1999999999999997E-3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3.4999999999999996E-3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1.01E-2</v>
      </c>
      <c r="D36">
        <v>2.6600000000000002E-2</v>
      </c>
      <c r="E36">
        <v>2.0199999999999999E-2</v>
      </c>
      <c r="F36">
        <v>-1.1399999999999999E-2</v>
      </c>
      <c r="G36">
        <v>-5.3E-3</v>
      </c>
      <c r="J36">
        <v>3.3000000000000004E-3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-1.7000000000000001E-3</v>
      </c>
      <c r="G38">
        <v>-1.49E-2</v>
      </c>
      <c r="J38">
        <v>3.4999999999999996E-3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-2.1299999999999996E-2</v>
      </c>
      <c r="C39">
        <f t="shared" si="0"/>
        <v>-2.5099999999999997E-2</v>
      </c>
      <c r="D39">
        <v>3.2000000000000002E-3</v>
      </c>
      <c r="E39">
        <v>-0.02</v>
      </c>
      <c r="F39">
        <v>1.3000000000000001E-2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2.4800000000000003E-2</v>
      </c>
      <c r="C40">
        <f t="shared" si="0"/>
        <v>2.1400000000000002E-2</v>
      </c>
      <c r="D40">
        <v>3.3399999999999999E-2</v>
      </c>
      <c r="E40">
        <v>-4.7000000000000002E-3</v>
      </c>
      <c r="F40">
        <v>3.9000000000000003E-3</v>
      </c>
      <c r="G40">
        <v>-9.4999999999999998E-3</v>
      </c>
      <c r="J40">
        <v>3.4000000000000002E-3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-5.2500000000000005E-2</v>
      </c>
      <c r="C41">
        <f t="shared" si="0"/>
        <v>-5.6600000000000004E-2</v>
      </c>
      <c r="D41">
        <v>-5.0999999999999997E-2</v>
      </c>
      <c r="E41">
        <v>-1.61E-2</v>
      </c>
      <c r="F41">
        <v>1.6399999999999998E-2</v>
      </c>
      <c r="G41">
        <v>-1.52E-2</v>
      </c>
      <c r="J41">
        <v>4.0999999999999995E-3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1.3700000000000002E-2</v>
      </c>
      <c r="E42">
        <v>4.8999999999999998E-3</v>
      </c>
      <c r="F42">
        <v>1.5E-3</v>
      </c>
      <c r="G42">
        <v>7.8000000000000005E-3</v>
      </c>
      <c r="J42">
        <v>3.8E-3</v>
      </c>
      <c r="K42">
        <v>3.6000000000000004E-2</v>
      </c>
      <c r="M42">
        <f t="shared" si="1"/>
        <v>3.2200000000000006E-2</v>
      </c>
    </row>
    <row r="43" spans="1:25">
      <c r="A43">
        <v>196607</v>
      </c>
      <c r="B43">
        <f>'10-T-weights5'!B39</f>
        <v>-1.2799999999999999E-2</v>
      </c>
      <c r="C43">
        <f t="shared" si="0"/>
        <v>-1.6299999999999999E-2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3.4999999999999996E-3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-3.1400000000000004E-2</v>
      </c>
      <c r="E44">
        <v>4.4000000000000003E-3</v>
      </c>
      <c r="F44">
        <v>-1.1999999999999999E-3</v>
      </c>
      <c r="G44">
        <v>7.9000000000000008E-3</v>
      </c>
      <c r="J44">
        <v>4.0999999999999995E-3</v>
      </c>
      <c r="K44">
        <v>-9.06E-2</v>
      </c>
      <c r="M44">
        <f t="shared" si="1"/>
        <v>-9.4700000000000006E-2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-1.1399999999999999E-2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4.5000000000000005E-3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-1.3200000000000002E-2</v>
      </c>
      <c r="F48">
        <v>6.4000000000000003E-3</v>
      </c>
      <c r="G48">
        <v>-4.5000000000000005E-3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-2.1800000000000003E-2</v>
      </c>
      <c r="F50">
        <v>2.0499999999999997E-2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4.3800000000000006E-2</v>
      </c>
      <c r="C51">
        <f t="shared" si="0"/>
        <v>3.9900000000000005E-2</v>
      </c>
      <c r="D51">
        <v>1.7299999999999999E-2</v>
      </c>
      <c r="E51">
        <v>5.4000000000000003E-3</v>
      </c>
      <c r="F51">
        <v>9.7999999999999997E-3</v>
      </c>
      <c r="G51">
        <v>-1.4499999999999999E-2</v>
      </c>
      <c r="J51">
        <v>3.9000000000000003E-3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4.2100000000000005E-2</v>
      </c>
      <c r="C52">
        <f t="shared" si="0"/>
        <v>3.8900000000000004E-2</v>
      </c>
      <c r="D52">
        <v>4.1999999999999997E-3</v>
      </c>
      <c r="E52">
        <v>-2.4500000000000001E-2</v>
      </c>
      <c r="F52">
        <v>2.3799999999999998E-2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3.3000000000000004E-3</v>
      </c>
      <c r="K53">
        <v>-3.1400000000000004E-2</v>
      </c>
      <c r="M53">
        <f t="shared" si="1"/>
        <v>-3.4700000000000002E-2</v>
      </c>
    </row>
    <row r="54" spans="1:13">
      <c r="A54">
        <v>196706</v>
      </c>
      <c r="B54">
        <f>'10-T-weights5'!B50</f>
        <v>2.6800000000000004E-2</v>
      </c>
      <c r="C54">
        <f t="shared" si="0"/>
        <v>2.4100000000000003E-2</v>
      </c>
      <c r="D54">
        <v>6.4100000000000004E-2</v>
      </c>
      <c r="E54">
        <v>8.5000000000000006E-3</v>
      </c>
      <c r="F54">
        <v>-6.4000000000000003E-3</v>
      </c>
      <c r="G54">
        <v>-2.4100000000000003E-2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2.7200000000000002E-2</v>
      </c>
      <c r="F55">
        <v>5.2000000000000006E-3</v>
      </c>
      <c r="G55">
        <v>2.7000000000000003E-2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1.4499999999999999E-2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1.0700000000000001E-2</v>
      </c>
      <c r="G58">
        <v>-2.6200000000000001E-2</v>
      </c>
      <c r="J58">
        <v>3.9000000000000003E-3</v>
      </c>
      <c r="K58">
        <v>6.8000000000000005E-3</v>
      </c>
      <c r="M58">
        <f t="shared" si="1"/>
        <v>2.9000000000000002E-3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1.3500000000000002E-2</v>
      </c>
      <c r="G59">
        <v>-2.3400000000000001E-2</v>
      </c>
      <c r="J59">
        <v>3.5999999999999999E-3</v>
      </c>
      <c r="K59">
        <v>1.1399999999999999E-2</v>
      </c>
      <c r="M59">
        <f t="shared" si="1"/>
        <v>7.7999999999999988E-3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5.7800000000000004E-2</v>
      </c>
      <c r="E60">
        <v>-6.3E-3</v>
      </c>
      <c r="F60">
        <v>-8.199999999999999E-3</v>
      </c>
      <c r="G60">
        <v>1.3000000000000002E-3</v>
      </c>
      <c r="J60">
        <v>3.3000000000000004E-3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-3.6599999999999994E-2</v>
      </c>
      <c r="C61">
        <f t="shared" si="0"/>
        <v>-4.0599999999999997E-2</v>
      </c>
      <c r="D61">
        <v>4.4800000000000006E-2</v>
      </c>
      <c r="E61">
        <v>4.8399999999999999E-2</v>
      </c>
      <c r="F61">
        <v>-4.5899999999999996E-2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1.3300000000000001E-2</v>
      </c>
      <c r="F62">
        <v>-1.4000000000000002E-3</v>
      </c>
      <c r="G62">
        <v>2.4500000000000001E-2</v>
      </c>
      <c r="J62">
        <v>3.9000000000000003E-3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-1.1000000000000001E-2</v>
      </c>
      <c r="J63">
        <v>3.8E-3</v>
      </c>
      <c r="K63">
        <v>2.7400000000000004E-2</v>
      </c>
      <c r="M63">
        <f t="shared" si="1"/>
        <v>2.3600000000000003E-2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2.7000000000000003E-2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2.7299999999999998E-2</v>
      </c>
      <c r="C65">
        <f t="shared" si="0"/>
        <v>2.2799999999999997E-2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4.5000000000000005E-3</v>
      </c>
      <c r="K65">
        <v>0.10220000000000001</v>
      </c>
      <c r="M65">
        <f t="shared" si="1"/>
        <v>9.7700000000000009E-2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-2.2400000000000003E-2</v>
      </c>
      <c r="C67">
        <f t="shared" si="0"/>
        <v>-2.7200000000000002E-2</v>
      </c>
      <c r="D67">
        <v>-1.4199999999999999E-2</v>
      </c>
      <c r="E67">
        <v>5.3899999999999997E-2</v>
      </c>
      <c r="F67">
        <v>-3.1400000000000004E-2</v>
      </c>
      <c r="G67">
        <v>3.6400000000000002E-2</v>
      </c>
      <c r="J67">
        <v>4.7999999999999996E-3</v>
      </c>
      <c r="K67">
        <v>-4.3899999999999995E-2</v>
      </c>
      <c r="M67">
        <f t="shared" si="1"/>
        <v>-4.8699999999999993E-2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4.5000000000000005E-3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2.8399999999999998E-2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-1.3200000000000002E-2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si="0"/>
        <v>5.4300000000000001E-2</v>
      </c>
      <c r="D71">
        <v>2.4100000000000003E-2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si="1"/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ref="C72:C135" si="2">B72-J72</f>
        <v>-3.9399999999999998E-2</v>
      </c>
      <c r="D72">
        <v>3.56E-2</v>
      </c>
      <c r="E72">
        <v>-1E-4</v>
      </c>
      <c r="F72">
        <v>-1.8600000000000002E-2</v>
      </c>
      <c r="G72">
        <v>1.7000000000000001E-2</v>
      </c>
      <c r="J72">
        <v>4.3E-3</v>
      </c>
      <c r="K72">
        <v>-2.86E-2</v>
      </c>
      <c r="M72">
        <f t="shared" ref="M72:M135" si="3">K72-J72</f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-4.5000000000000005E-3</v>
      </c>
      <c r="E73">
        <v>1.6799999999999999E-2</v>
      </c>
      <c r="F73">
        <v>-1.5500000000000002E-2</v>
      </c>
      <c r="G73">
        <v>1.3700000000000002E-2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7.8000000000000005E-3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3.1000000000000003E-2</v>
      </c>
      <c r="C75">
        <f t="shared" si="2"/>
        <v>2.6400000000000003E-2</v>
      </c>
      <c r="D75">
        <v>-4.1999999999999997E-3</v>
      </c>
      <c r="E75">
        <v>-5.2000000000000006E-3</v>
      </c>
      <c r="F75">
        <v>-1.4199999999999999E-2</v>
      </c>
      <c r="G75">
        <v>-4.5999999999999999E-3</v>
      </c>
      <c r="J75">
        <v>4.5999999999999999E-3</v>
      </c>
      <c r="K75">
        <v>5.7699999999999994E-2</v>
      </c>
      <c r="M75">
        <f t="shared" si="3"/>
        <v>5.3099999999999994E-2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4.0999999999999995E-3</v>
      </c>
      <c r="G76">
        <v>2.3E-3</v>
      </c>
      <c r="J76">
        <v>5.3E-3</v>
      </c>
      <c r="K76">
        <v>3.2400000000000005E-2</v>
      </c>
      <c r="M76">
        <f t="shared" si="3"/>
        <v>2.7100000000000006E-2</v>
      </c>
    </row>
    <row r="77" spans="1:13">
      <c r="A77">
        <v>196905</v>
      </c>
      <c r="B77">
        <f>'10-T-weights5'!B73</f>
        <v>3.7999999999999996E-3</v>
      </c>
      <c r="C77">
        <f t="shared" si="2"/>
        <v>-1E-3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2.6000000000000002E-2</v>
      </c>
      <c r="M77">
        <f t="shared" si="3"/>
        <v>2.1200000000000004E-2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-1.0900000000000002E-2</v>
      </c>
      <c r="F78">
        <v>4.3200000000000002E-2</v>
      </c>
      <c r="G78">
        <v>-1.5300000000000001E-2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1.4499999999999999E-2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-3.7700000000000004E-2</v>
      </c>
      <c r="F80">
        <v>1.17E-2</v>
      </c>
      <c r="G80">
        <v>-4.0399999999999998E-2</v>
      </c>
      <c r="J80">
        <v>5.0000000000000001E-3</v>
      </c>
      <c r="K80">
        <v>0.10470000000000002</v>
      </c>
      <c r="M80">
        <f t="shared" si="3"/>
        <v>9.9700000000000011E-2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-2.8399999999999998E-2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-3.1000000000000003E-2</v>
      </c>
      <c r="F82">
        <v>1.1999999999999999E-3</v>
      </c>
      <c r="G82">
        <v>-2.1400000000000002E-2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1.4499999999999999E-2</v>
      </c>
      <c r="G83">
        <v>2.8000000000000004E-3</v>
      </c>
      <c r="J83">
        <v>5.2000000000000006E-3</v>
      </c>
      <c r="K83">
        <v>-3.9000000000000003E-3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-3.7700000000000004E-2</v>
      </c>
      <c r="E84">
        <v>-2.8399999999999998E-2</v>
      </c>
      <c r="F84">
        <v>2.5400000000000002E-2</v>
      </c>
      <c r="G84">
        <v>-1.78E-2</v>
      </c>
      <c r="J84">
        <v>6.4000000000000003E-3</v>
      </c>
      <c r="K84">
        <v>1.2700000000000001E-2</v>
      </c>
      <c r="M84">
        <f t="shared" si="3"/>
        <v>6.3000000000000009E-3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3.1200000000000002E-2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5.7499999999999996E-2</v>
      </c>
      <c r="C86">
        <f t="shared" si="2"/>
        <v>5.1299999999999998E-2</v>
      </c>
      <c r="D86">
        <v>-2.7400000000000004E-2</v>
      </c>
      <c r="E86">
        <v>3.9300000000000002E-2</v>
      </c>
      <c r="F86">
        <v>-2.3199999999999998E-2</v>
      </c>
      <c r="G86">
        <v>2.7400000000000004E-2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3.9900000000000005E-2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-0.11410000000000001</v>
      </c>
      <c r="M88">
        <f t="shared" si="3"/>
        <v>-0.11910000000000001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-4.4500000000000005E-2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1.3000000000000002E-3</v>
      </c>
      <c r="G90">
        <v>2.9700000000000004E-2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1.5300000000000001E-2</v>
      </c>
      <c r="E92">
        <v>1.2700000000000001E-2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4.1100000000000005E-2</v>
      </c>
      <c r="M93">
        <f t="shared" si="3"/>
        <v>3.5700000000000003E-2</v>
      </c>
    </row>
    <row r="94" spans="1:13">
      <c r="A94">
        <v>197010</v>
      </c>
      <c r="B94">
        <f>'10-T-weights5'!B90</f>
        <v>-1.8199999999999997E-2</v>
      </c>
      <c r="C94">
        <f t="shared" si="2"/>
        <v>-2.2799999999999997E-2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1.5600000000000001E-2</v>
      </c>
      <c r="G95">
        <v>1.4800000000000001E-2</v>
      </c>
      <c r="J95">
        <v>4.5999999999999999E-3</v>
      </c>
      <c r="K95">
        <v>5.5700000000000006E-2</v>
      </c>
      <c r="M95">
        <f t="shared" si="3"/>
        <v>5.1100000000000007E-2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2.9300000000000003E-2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5.2199999999999996E-2</v>
      </c>
      <c r="C97">
        <f t="shared" si="2"/>
        <v>4.8399999999999999E-2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2.0499999999999997E-2</v>
      </c>
      <c r="M97">
        <f t="shared" si="3"/>
        <v>1.6699999999999996E-2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-1.2700000000000001E-2</v>
      </c>
      <c r="F98">
        <v>5.7999999999999996E-3</v>
      </c>
      <c r="G98">
        <v>-6.8999999999999999E-3</v>
      </c>
      <c r="J98">
        <v>3.3000000000000004E-3</v>
      </c>
      <c r="K98">
        <v>3.9900000000000005E-2</v>
      </c>
      <c r="M98">
        <f t="shared" si="3"/>
        <v>3.6600000000000008E-2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-2.7000000000000003E-2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-3.4999999999999996E-3</v>
      </c>
      <c r="E100">
        <v>8.1000000000000013E-3</v>
      </c>
      <c r="F100">
        <v>-1.46E-2</v>
      </c>
      <c r="G100">
        <v>8.8999999999999999E-3</v>
      </c>
      <c r="J100">
        <v>2.8000000000000004E-3</v>
      </c>
      <c r="K100">
        <v>4.9700000000000001E-2</v>
      </c>
      <c r="M100">
        <f t="shared" si="3"/>
        <v>4.6899999999999997E-2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1.5500000000000002E-2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-4.0999999999999995E-2</v>
      </c>
      <c r="C103">
        <f t="shared" si="2"/>
        <v>-4.4999999999999998E-2</v>
      </c>
      <c r="D103">
        <v>-1.4199999999999999E-2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-6.2400000000000004E-2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4.2600000000000006E-2</v>
      </c>
      <c r="C104">
        <f t="shared" si="2"/>
        <v>3.7900000000000003E-2</v>
      </c>
      <c r="D104">
        <v>-1.5E-3</v>
      </c>
      <c r="E104">
        <v>2.6400000000000003E-2</v>
      </c>
      <c r="F104">
        <v>-4.5000000000000005E-3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-4.8000000000000004E-3</v>
      </c>
      <c r="C105">
        <f t="shared" si="2"/>
        <v>-8.5000000000000006E-3</v>
      </c>
      <c r="D105">
        <v>2.8000000000000004E-3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-4.1100000000000005E-2</v>
      </c>
      <c r="M106">
        <f t="shared" si="3"/>
        <v>-4.4800000000000006E-2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-2.8700000000000003E-2</v>
      </c>
      <c r="E107">
        <v>-1.7000000000000001E-2</v>
      </c>
      <c r="F107">
        <v>2.4100000000000003E-2</v>
      </c>
      <c r="G107">
        <v>-3.3000000000000004E-3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-4.0999999999999995E-3</v>
      </c>
      <c r="F108">
        <v>-3.9000000000000003E-3</v>
      </c>
      <c r="G108">
        <v>-1.7299999999999999E-2</v>
      </c>
      <c r="J108">
        <v>3.7000000000000002E-3</v>
      </c>
      <c r="K108">
        <v>0.10800000000000001</v>
      </c>
      <c r="M108">
        <f t="shared" si="3"/>
        <v>0.10430000000000002</v>
      </c>
    </row>
    <row r="109" spans="1:13">
      <c r="A109">
        <v>197201</v>
      </c>
      <c r="B109">
        <f>'10-T-weights5'!B105</f>
        <v>2.7800000000000002E-2</v>
      </c>
      <c r="C109">
        <f t="shared" si="2"/>
        <v>2.4900000000000002E-2</v>
      </c>
      <c r="D109">
        <v>6.1200000000000004E-2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3.1200000000000002E-2</v>
      </c>
      <c r="C110">
        <f t="shared" si="2"/>
        <v>2.8700000000000003E-2</v>
      </c>
      <c r="D110">
        <v>8.8999999999999999E-3</v>
      </c>
      <c r="E110">
        <v>-2.7700000000000002E-2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-4.5000000000000005E-3</v>
      </c>
      <c r="G112">
        <v>-0.01</v>
      </c>
      <c r="J112">
        <v>2.8999999999999998E-3</v>
      </c>
      <c r="K112">
        <v>1.2700000000000001E-2</v>
      </c>
      <c r="M112">
        <f t="shared" si="3"/>
        <v>9.8000000000000014E-3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-3.1200000000000002E-2</v>
      </c>
      <c r="E113">
        <v>-2.7200000000000002E-2</v>
      </c>
      <c r="F113">
        <v>2.3799999999999998E-2</v>
      </c>
      <c r="G113">
        <v>-1.9199999999999998E-2</v>
      </c>
      <c r="J113">
        <v>3.0000000000000001E-3</v>
      </c>
      <c r="K113">
        <v>5.4900000000000004E-2</v>
      </c>
      <c r="M113">
        <f t="shared" si="3"/>
        <v>5.1900000000000002E-2</v>
      </c>
    </row>
    <row r="114" spans="1:13">
      <c r="A114">
        <v>197206</v>
      </c>
      <c r="B114">
        <f>'10-T-weights5'!B110</f>
        <v>-2.1400000000000002E-2</v>
      </c>
      <c r="C114">
        <f t="shared" si="2"/>
        <v>-2.4300000000000002E-2</v>
      </c>
      <c r="D114">
        <v>-4.7000000000000002E-3</v>
      </c>
      <c r="E114">
        <v>-2.4900000000000002E-2</v>
      </c>
      <c r="F114">
        <v>1.8100000000000002E-2</v>
      </c>
      <c r="G114">
        <v>-3.4000000000000002E-3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-2.7700000000000002E-2</v>
      </c>
      <c r="E115">
        <v>6.6000000000000008E-3</v>
      </c>
      <c r="F115">
        <v>1.1399999999999999E-2</v>
      </c>
      <c r="G115">
        <v>-6.5000000000000006E-3</v>
      </c>
      <c r="J115">
        <v>3.0999999999999999E-3</v>
      </c>
      <c r="K115">
        <v>-2.6000000000000003E-3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-1.5500000000000002E-2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3.4000000000000002E-3</v>
      </c>
      <c r="K117">
        <v>5.1000000000000004E-3</v>
      </c>
      <c r="M117">
        <f t="shared" si="3"/>
        <v>1.7000000000000001E-3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-2.5400000000000002E-2</v>
      </c>
      <c r="E118">
        <v>1.3500000000000002E-2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-2.8499999999999998E-2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-4.4399999999999995E-2</v>
      </c>
      <c r="C122">
        <f t="shared" si="2"/>
        <v>-4.8499999999999995E-2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4.0999999999999995E-3</v>
      </c>
      <c r="K122">
        <v>-5.1100000000000007E-2</v>
      </c>
      <c r="M122">
        <f t="shared" si="3"/>
        <v>-5.5200000000000006E-2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-1.0400000000000001E-2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-2.9500000000000002E-2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4.0999999999999995E-3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-1.0600000000000002E-2</v>
      </c>
      <c r="C126">
        <f t="shared" si="2"/>
        <v>-1.5700000000000002E-2</v>
      </c>
      <c r="D126">
        <v>-2.5099999999999997E-2</v>
      </c>
      <c r="E126">
        <v>1.1899999999999999E-2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2.4300000000000002E-2</v>
      </c>
      <c r="M127">
        <f t="shared" si="3"/>
        <v>1.7900000000000003E-2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-2.8700000000000003E-2</v>
      </c>
      <c r="M128">
        <f t="shared" si="3"/>
        <v>-3.5700000000000003E-2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2.2400000000000003E-2</v>
      </c>
      <c r="F129">
        <v>-2.3E-2</v>
      </c>
      <c r="G129">
        <v>1.7500000000000002E-2</v>
      </c>
      <c r="J129">
        <v>6.8000000000000005E-3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-1.7999999999999995E-3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-0.12190000000000001</v>
      </c>
      <c r="C131">
        <f t="shared" si="2"/>
        <v>-0.1275</v>
      </c>
      <c r="D131">
        <v>-7.2700000000000001E-2</v>
      </c>
      <c r="E131">
        <v>3.9900000000000005E-2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2.4100000000000003E-2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4.4800000000000006E-2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1.0999999999999994E-3</v>
      </c>
      <c r="C134">
        <f t="shared" si="2"/>
        <v>-4.7000000000000002E-3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si="2"/>
        <v>-2.81E-2</v>
      </c>
      <c r="D135">
        <v>2.6099999999999998E-2</v>
      </c>
      <c r="E135">
        <v>-1.1999999999999999E-3</v>
      </c>
      <c r="F135">
        <v>2.7900000000000001E-2</v>
      </c>
      <c r="G135">
        <v>4.5000000000000005E-3</v>
      </c>
      <c r="J135">
        <v>5.6000000000000008E-3</v>
      </c>
      <c r="K135">
        <v>-4.6399999999999997E-2</v>
      </c>
      <c r="M135">
        <f t="shared" si="3"/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ref="C136:C199" si="4">B136-J136</f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2.0800000000000003E-2</v>
      </c>
      <c r="J136">
        <v>7.4999999999999997E-3</v>
      </c>
      <c r="K136">
        <v>-4.1299999999999996E-2</v>
      </c>
      <c r="M136">
        <f t="shared" ref="M136:M199" si="5">K136-J136</f>
        <v>-4.8799999999999996E-2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2.8999999999999998E-2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2.6000000000000003E-3</v>
      </c>
      <c r="E140">
        <v>2.6400000000000003E-2</v>
      </c>
      <c r="F140">
        <v>-2.8000000000000004E-3</v>
      </c>
      <c r="G140">
        <v>2.6000000000000002E-2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-2.8700000000000003E-2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-2.7500000000000004E-2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0.11460000000000001</v>
      </c>
      <c r="M145">
        <f t="shared" si="5"/>
        <v>0.10880000000000001</v>
      </c>
    </row>
    <row r="146" spans="1:13">
      <c r="A146">
        <v>197502</v>
      </c>
      <c r="B146">
        <f>'10-T-weights5'!B142</f>
        <v>5.9899999999999995E-2</v>
      </c>
      <c r="C146">
        <f t="shared" si="4"/>
        <v>5.5599999999999997E-2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3.9900000000000005E-2</v>
      </c>
      <c r="E147">
        <v>2.3900000000000001E-2</v>
      </c>
      <c r="F147">
        <v>1.23E-2</v>
      </c>
      <c r="G147">
        <v>-1.3100000000000001E-2</v>
      </c>
      <c r="J147">
        <v>4.0999999999999995E-3</v>
      </c>
      <c r="K147">
        <v>7.1400000000000005E-2</v>
      </c>
      <c r="M147">
        <f t="shared" si="5"/>
        <v>6.7299999999999999E-2</v>
      </c>
    </row>
    <row r="148" spans="1:13">
      <c r="A148">
        <v>197504</v>
      </c>
      <c r="B148">
        <f>'10-T-weights5'!B144</f>
        <v>4.6700000000000005E-2</v>
      </c>
      <c r="C148">
        <f t="shared" si="4"/>
        <v>4.2300000000000004E-2</v>
      </c>
      <c r="D148">
        <v>-7.1999999999999998E-3</v>
      </c>
      <c r="E148">
        <v>-1.1299999999999999E-2</v>
      </c>
      <c r="F148">
        <v>1.4199999999999999E-2</v>
      </c>
      <c r="G148">
        <v>-1.3500000000000002E-2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2.8900000000000002E-2</v>
      </c>
      <c r="E149">
        <v>-4.0999999999999995E-2</v>
      </c>
      <c r="F149">
        <v>-9.9000000000000008E-3</v>
      </c>
      <c r="G149">
        <v>-6.1000000000000004E-3</v>
      </c>
      <c r="J149">
        <v>4.4000000000000003E-3</v>
      </c>
      <c r="K149">
        <v>4.9400000000000006E-2</v>
      </c>
      <c r="M149">
        <f t="shared" si="5"/>
        <v>4.5000000000000005E-2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1.4199999999999999E-2</v>
      </c>
      <c r="E150">
        <v>1.3999999999999999E-2</v>
      </c>
      <c r="F150">
        <v>-2.6600000000000002E-2</v>
      </c>
      <c r="G150">
        <v>1.1000000000000001E-2</v>
      </c>
      <c r="J150">
        <v>4.0999999999999995E-3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-2.3700000000000002E-2</v>
      </c>
      <c r="C152">
        <f t="shared" si="4"/>
        <v>-2.8500000000000001E-2</v>
      </c>
      <c r="D152">
        <v>-2.8399999999999998E-2</v>
      </c>
      <c r="E152">
        <v>-9.4000000000000004E-3</v>
      </c>
      <c r="F152">
        <v>1.1200000000000002E-2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5.5000000000000005E-3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5.8699999999999995E-2</v>
      </c>
      <c r="C154">
        <f t="shared" si="4"/>
        <v>5.3099999999999994E-2</v>
      </c>
      <c r="D154">
        <v>-4.2200000000000001E-2</v>
      </c>
      <c r="E154">
        <v>2.7000000000000001E-3</v>
      </c>
      <c r="F154">
        <v>-4.7999999999999996E-3</v>
      </c>
      <c r="G154">
        <v>2.2000000000000002E-2</v>
      </c>
      <c r="J154">
        <v>5.6000000000000008E-3</v>
      </c>
      <c r="K154">
        <v>2.9700000000000004E-2</v>
      </c>
      <c r="M154">
        <f t="shared" si="5"/>
        <v>2.4100000000000003E-2</v>
      </c>
    </row>
    <row r="155" spans="1:13">
      <c r="A155">
        <v>197511</v>
      </c>
      <c r="B155">
        <f>'10-T-weights5'!B151</f>
        <v>3.0500000000000003E-2</v>
      </c>
      <c r="C155">
        <f t="shared" si="4"/>
        <v>2.6400000000000003E-2</v>
      </c>
      <c r="D155">
        <v>-1.1000000000000001E-2</v>
      </c>
      <c r="E155">
        <v>2.0499999999999997E-2</v>
      </c>
      <c r="F155">
        <v>-6.8000000000000005E-3</v>
      </c>
      <c r="G155">
        <v>1.78E-2</v>
      </c>
      <c r="J155">
        <v>4.0999999999999995E-3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-1.1200000000000002E-2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0.19140000000000001</v>
      </c>
      <c r="M157">
        <f t="shared" si="5"/>
        <v>0.1867</v>
      </c>
    </row>
    <row r="158" spans="1:13">
      <c r="A158">
        <v>197602</v>
      </c>
      <c r="B158">
        <f>'10-T-weights5'!B154</f>
        <v>6.6E-3</v>
      </c>
      <c r="C158">
        <f t="shared" si="4"/>
        <v>3.1999999999999997E-3</v>
      </c>
      <c r="D158">
        <v>7.980000000000001E-2</v>
      </c>
      <c r="E158">
        <v>5.8200000000000002E-2</v>
      </c>
      <c r="F158">
        <v>-2.6000000000000002E-2</v>
      </c>
      <c r="G158">
        <v>3.8300000000000001E-2</v>
      </c>
      <c r="J158">
        <v>3.4000000000000002E-3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-3.3000000000000004E-3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-1.0700000000000001E-2</v>
      </c>
      <c r="C160">
        <f t="shared" si="4"/>
        <v>-1.49E-2</v>
      </c>
      <c r="D160">
        <v>8.0000000000000004E-4</v>
      </c>
      <c r="E160">
        <v>-1.4000000000000002E-3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-1.1000000000000001E-2</v>
      </c>
      <c r="E161">
        <v>-1.3500000000000002E-2</v>
      </c>
      <c r="F161">
        <v>2.4500000000000001E-2</v>
      </c>
      <c r="G161">
        <v>-1.3999999999999999E-2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-1.0700000000000001E-2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2.8000000000000004E-3</v>
      </c>
      <c r="J163">
        <v>4.7000000000000002E-3</v>
      </c>
      <c r="K163">
        <v>-1.1399999999999999E-2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-4.0999999999999995E-3</v>
      </c>
      <c r="G164">
        <v>-5.5000000000000005E-3</v>
      </c>
      <c r="J164">
        <v>4.1999999999999997E-3</v>
      </c>
      <c r="K164">
        <v>-2.2000000000000002E-2</v>
      </c>
      <c r="M164">
        <f t="shared" si="5"/>
        <v>-2.6200000000000001E-2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1.3000000000000002E-3</v>
      </c>
      <c r="E166">
        <v>-1.8E-3</v>
      </c>
      <c r="F166">
        <v>-1.9E-3</v>
      </c>
      <c r="G166">
        <v>-3.7000000000000002E-3</v>
      </c>
      <c r="J166">
        <v>4.0999999999999995E-3</v>
      </c>
      <c r="K166">
        <v>-3.4300000000000004E-2</v>
      </c>
      <c r="M166">
        <f t="shared" si="5"/>
        <v>-3.8400000000000004E-2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2.6600000000000002E-2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2.2799999999999997E-2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5.9000000000000004E-2</v>
      </c>
      <c r="E169">
        <v>4.2699999999999995E-2</v>
      </c>
      <c r="F169">
        <v>-5.1000000000000004E-3</v>
      </c>
      <c r="G169">
        <v>1.9699999999999999E-2</v>
      </c>
      <c r="J169">
        <v>3.5999999999999999E-3</v>
      </c>
      <c r="K169">
        <v>2.4900000000000002E-2</v>
      </c>
      <c r="M169">
        <f t="shared" si="5"/>
        <v>2.1300000000000003E-2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1.0700000000000001E-2</v>
      </c>
      <c r="E170">
        <v>4.7000000000000002E-3</v>
      </c>
      <c r="F170">
        <v>-1.6000000000000001E-3</v>
      </c>
      <c r="G170">
        <v>-2.2000000000000001E-3</v>
      </c>
      <c r="J170">
        <v>3.4999999999999996E-3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1.0900000000000002E-2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1.1399999999999999E-2</v>
      </c>
      <c r="J172">
        <v>3.8E-3</v>
      </c>
      <c r="K172">
        <v>3.9700000000000006E-2</v>
      </c>
      <c r="M172">
        <f t="shared" si="5"/>
        <v>3.5900000000000008E-2</v>
      </c>
    </row>
    <row r="173" spans="1:13">
      <c r="A173">
        <v>197705</v>
      </c>
      <c r="B173">
        <f>'10-T-weights5'!B169</f>
        <v>-1.0799999999999999E-2</v>
      </c>
      <c r="C173">
        <f t="shared" si="4"/>
        <v>-1.4499999999999999E-2</v>
      </c>
      <c r="D173">
        <v>1.3100000000000001E-2</v>
      </c>
      <c r="E173">
        <v>8.5000000000000006E-3</v>
      </c>
      <c r="F173">
        <v>3.3000000000000004E-3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5.1100000000000007E-2</v>
      </c>
      <c r="C174">
        <f t="shared" si="4"/>
        <v>4.7100000000000003E-2</v>
      </c>
      <c r="D174">
        <v>2.0800000000000003E-2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-1.0900000000000002E-2</v>
      </c>
      <c r="M175">
        <f t="shared" si="5"/>
        <v>-1.5100000000000002E-2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1.5999999999999999E-3</v>
      </c>
      <c r="C177">
        <f t="shared" si="4"/>
        <v>-2.7000000000000001E-3</v>
      </c>
      <c r="D177">
        <v>1.43E-2</v>
      </c>
      <c r="E177">
        <v>-4.5999999999999999E-3</v>
      </c>
      <c r="F177">
        <v>1.4499999999999999E-2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-4.7400000000000005E-2</v>
      </c>
      <c r="M178">
        <f t="shared" si="5"/>
        <v>-5.2300000000000006E-2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-1.3000000000000002E-3</v>
      </c>
      <c r="G179">
        <v>7.0999999999999995E-3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2.7200000000000002E-2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3.7000000000000005E-2</v>
      </c>
      <c r="E182">
        <v>8.3000000000000001E-3</v>
      </c>
      <c r="F182">
        <v>3.3000000000000004E-3</v>
      </c>
      <c r="G182">
        <v>1.0400000000000001E-2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3.3800000000000004E-2</v>
      </c>
      <c r="C183">
        <f t="shared" si="4"/>
        <v>2.8500000000000004E-2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2.8300000000000002E-2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-1.1499999999999998E-2</v>
      </c>
      <c r="C186">
        <f t="shared" si="4"/>
        <v>-1.6899999999999998E-2</v>
      </c>
      <c r="D186">
        <v>1.5600000000000001E-2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2.2000000000000002E-2</v>
      </c>
      <c r="M186">
        <f t="shared" si="5"/>
        <v>1.6600000000000004E-2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1.3000000000000002E-3</v>
      </c>
      <c r="E187">
        <v>-1.11E-2</v>
      </c>
      <c r="F187">
        <v>1.5500000000000002E-2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1.8600000000000002E-2</v>
      </c>
      <c r="F189">
        <v>-6.5000000000000006E-3</v>
      </c>
      <c r="G189">
        <v>1.8000000000000002E-2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-0.10070000000000001</v>
      </c>
      <c r="E190">
        <v>1.3899999999999999E-2</v>
      </c>
      <c r="F190">
        <v>1.8E-3</v>
      </c>
      <c r="G190">
        <v>9.9000000000000008E-3</v>
      </c>
      <c r="J190">
        <v>6.8000000000000005E-3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-2.1400000000000002E-2</v>
      </c>
      <c r="F191">
        <v>1.11E-2</v>
      </c>
      <c r="G191">
        <v>-1.1899999999999999E-2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1.1200000000000002E-2</v>
      </c>
      <c r="E192">
        <v>-2.1299999999999999E-2</v>
      </c>
      <c r="F192">
        <v>1.95E-2</v>
      </c>
      <c r="G192">
        <v>-1.38E-2</v>
      </c>
      <c r="J192">
        <v>7.8000000000000005E-3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2.2000000000000002E-2</v>
      </c>
      <c r="F193">
        <v>-2.4900000000000002E-2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1.1399999999999999E-2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2.8000000000000004E-3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1.5500000000000002E-2</v>
      </c>
      <c r="M196">
        <f t="shared" si="5"/>
        <v>7.5000000000000015E-3</v>
      </c>
    </row>
    <row r="197" spans="1:13">
      <c r="A197">
        <v>197905</v>
      </c>
      <c r="B197">
        <f>'10-T-weights5'!B193</f>
        <v>-1.3900000000000003E-2</v>
      </c>
      <c r="C197">
        <f t="shared" si="4"/>
        <v>-2.2100000000000002E-2</v>
      </c>
      <c r="D197">
        <v>1.7000000000000001E-3</v>
      </c>
      <c r="E197">
        <v>1.3200000000000002E-2</v>
      </c>
      <c r="F197">
        <v>-1.5500000000000002E-2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1.5899999999999997E-2</v>
      </c>
      <c r="C199">
        <f t="shared" si="4"/>
        <v>8.1999999999999972E-3</v>
      </c>
      <c r="D199">
        <v>1.2700000000000001E-2</v>
      </c>
      <c r="E199">
        <v>1.8600000000000002E-2</v>
      </c>
      <c r="F199">
        <v>-2.8000000000000004E-3</v>
      </c>
      <c r="G199">
        <v>7.0999999999999995E-3</v>
      </c>
      <c r="J199">
        <v>7.7000000000000002E-3</v>
      </c>
      <c r="K199">
        <v>1.7299999999999999E-2</v>
      </c>
      <c r="M199">
        <f t="shared" si="5"/>
        <v>9.5999999999999992E-3</v>
      </c>
    </row>
    <row r="200" spans="1:13">
      <c r="A200">
        <v>197908</v>
      </c>
      <c r="B200">
        <f>'10-T-weights5'!B196</f>
        <v>6.3E-2</v>
      </c>
      <c r="C200">
        <f t="shared" ref="C200:C263" si="6">B200-J200</f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ref="M200:M263" si="7">K200-J200</f>
        <v>6.6300000000000012E-2</v>
      </c>
    </row>
    <row r="201" spans="1:13">
      <c r="A201">
        <v>197909</v>
      </c>
      <c r="B201">
        <f>'10-T-weights5'!B197</f>
        <v>1.0000000000000113E-4</v>
      </c>
      <c r="C201">
        <f t="shared" si="6"/>
        <v>-8.199999999999999E-3</v>
      </c>
      <c r="D201">
        <v>-3.3000000000000004E-3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4.3899999999999995E-2</v>
      </c>
      <c r="M201">
        <f t="shared" si="7"/>
        <v>3.5599999999999993E-2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-1.8600000000000002E-2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-3.2799999999999996E-2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0.13820000000000002</v>
      </c>
      <c r="M205">
        <f t="shared" si="7"/>
        <v>0.13020000000000001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2.7000000000000003E-2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1.4499999999999999E-2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5.2300000000000006E-2</v>
      </c>
      <c r="C208">
        <f t="shared" si="6"/>
        <v>3.9700000000000006E-2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6.0700000000000004E-2</v>
      </c>
      <c r="C209">
        <f t="shared" si="6"/>
        <v>5.2600000000000001E-2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1.4199999999999999E-2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-2.3799999999999998E-2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-2.6099999999999998E-2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-2.7700000000000002E-2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-3.3100000000000004E-2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1.0400000000000001E-2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5.7000000000000002E-3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1.0700000000000001E-2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3.0299999999999997E-2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4.5899999999999996E-2</v>
      </c>
      <c r="E220">
        <v>2.2799999999999997E-2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-1.0099999999999998E-2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-1.3700000000000002E-2</v>
      </c>
      <c r="G222">
        <v>2.69E-2</v>
      </c>
      <c r="J222">
        <v>1.3500000000000002E-2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-2.0499999999999997E-2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-2.4300000000000002E-2</v>
      </c>
      <c r="M223">
        <f t="shared" si="7"/>
        <v>-3.6700000000000003E-2</v>
      </c>
    </row>
    <row r="224" spans="1:13">
      <c r="A224">
        <v>198108</v>
      </c>
      <c r="B224">
        <f>'10-T-weights5'!B220</f>
        <v>-5.7600000000000005E-2</v>
      </c>
      <c r="C224">
        <f t="shared" si="6"/>
        <v>-7.0400000000000004E-2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2.6099999999999998E-2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3.1400000000000004E-2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1.8500000000000003E-2</v>
      </c>
      <c r="F227">
        <v>7.000000000000001E-4</v>
      </c>
      <c r="G227">
        <v>9.5999999999999992E-3</v>
      </c>
      <c r="J227">
        <v>1.0700000000000001E-2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-2.4400000000000005E-2</v>
      </c>
      <c r="C229">
        <f t="shared" si="6"/>
        <v>-3.2400000000000005E-2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-4.9400000000000006E-2</v>
      </c>
      <c r="C230">
        <f t="shared" si="6"/>
        <v>-5.8600000000000006E-2</v>
      </c>
      <c r="D230">
        <v>3.4999999999999996E-3</v>
      </c>
      <c r="E230">
        <v>6.0499999999999998E-2</v>
      </c>
      <c r="F230">
        <v>-3.4300000000000004E-2</v>
      </c>
      <c r="G230">
        <v>4.5599999999999995E-2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2.4900000000000002E-2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1.0900000000000002E-2</v>
      </c>
      <c r="E232">
        <v>-2.7000000000000003E-2</v>
      </c>
      <c r="F232">
        <v>1.5600000000000001E-2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-2.9300000000000007E-2</v>
      </c>
      <c r="C233">
        <f t="shared" si="6"/>
        <v>-3.9900000000000005E-2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1.5500000000000002E-2</v>
      </c>
      <c r="F234">
        <v>1E-4</v>
      </c>
      <c r="G234">
        <v>2.7000000000000003E-2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-2.1399999999999995E-2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1.0400000000000001E-2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0.11900000000000001</v>
      </c>
      <c r="C236">
        <f t="shared" si="6"/>
        <v>0.11140000000000001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1.8000000000000002E-2</v>
      </c>
      <c r="C237">
        <f t="shared" si="6"/>
        <v>1.2900000000000002E-2</v>
      </c>
      <c r="D237">
        <v>2.6200000000000001E-2</v>
      </c>
      <c r="E237">
        <v>2.7000000000000001E-3</v>
      </c>
      <c r="F237">
        <v>2.1400000000000002E-2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-3.4000000000000002E-3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-1.8500000000000003E-2</v>
      </c>
      <c r="F239">
        <v>-9.7000000000000003E-3</v>
      </c>
      <c r="G239">
        <v>2.8999999999999998E-3</v>
      </c>
      <c r="J239">
        <v>6.3E-3</v>
      </c>
      <c r="K239">
        <v>0.10099999999999999</v>
      </c>
      <c r="M239">
        <f t="shared" si="7"/>
        <v>9.4699999999999993E-2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-7.0999999999999995E-3</v>
      </c>
      <c r="F241">
        <v>-1.5500000000000002E-2</v>
      </c>
      <c r="G241">
        <v>-5.5000000000000005E-3</v>
      </c>
      <c r="J241">
        <v>6.8999999999999999E-3</v>
      </c>
      <c r="K241">
        <v>2.5099999999999997E-2</v>
      </c>
      <c r="M241">
        <f t="shared" si="7"/>
        <v>1.8199999999999997E-2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2.9300000000000003E-2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-1.7000000000000001E-3</v>
      </c>
      <c r="G243">
        <v>2.7400000000000004E-2</v>
      </c>
      <c r="J243">
        <v>6.3E-3</v>
      </c>
      <c r="K243">
        <v>4.8600000000000004E-2</v>
      </c>
      <c r="M243">
        <f t="shared" si="7"/>
        <v>4.2300000000000004E-2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7.0999999999999995E-3</v>
      </c>
      <c r="K244">
        <v>0.10640000000000001</v>
      </c>
      <c r="M244">
        <f t="shared" si="7"/>
        <v>9.9300000000000013E-2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-1.4199999999999999E-2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3.7399999999999996E-2</v>
      </c>
      <c r="C246">
        <f t="shared" si="6"/>
        <v>3.0699999999999995E-2</v>
      </c>
      <c r="D246">
        <v>1.1899999999999999E-2</v>
      </c>
      <c r="E246">
        <v>-3.9100000000000003E-2</v>
      </c>
      <c r="F246">
        <v>2.6000000000000002E-2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5.5400000000000005E-2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-1.0499999999999999E-2</v>
      </c>
      <c r="C252">
        <f t="shared" si="6"/>
        <v>-1.78E-2</v>
      </c>
      <c r="D252">
        <v>-4.5000000000000005E-3</v>
      </c>
      <c r="E252">
        <v>1.7000000000000001E-2</v>
      </c>
      <c r="F252">
        <v>1.6E-2</v>
      </c>
      <c r="G252">
        <v>1.2700000000000001E-2</v>
      </c>
      <c r="J252">
        <v>7.3000000000000001E-3</v>
      </c>
      <c r="K252">
        <v>-2.7000000000000003E-2</v>
      </c>
      <c r="M252">
        <f t="shared" si="7"/>
        <v>-3.4300000000000004E-2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-4.1100000000000005E-2</v>
      </c>
      <c r="C254">
        <f t="shared" si="6"/>
        <v>-4.8200000000000007E-2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7.0999999999999995E-3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1.3600000000000001E-2</v>
      </c>
      <c r="C255">
        <f t="shared" si="6"/>
        <v>6.3000000000000009E-3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1.1899999999999999E-2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-5.1899999999999995E-2</v>
      </c>
      <c r="C257">
        <f t="shared" si="6"/>
        <v>-5.9699999999999996E-2</v>
      </c>
      <c r="D257">
        <v>1.4000000000000002E-3</v>
      </c>
      <c r="E257">
        <v>2.8999999999999998E-3</v>
      </c>
      <c r="F257">
        <v>2.2000000000000002E-2</v>
      </c>
      <c r="G257">
        <v>-4.5999999999999999E-3</v>
      </c>
      <c r="J257">
        <v>7.8000000000000005E-3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-2.6600000000000002E-2</v>
      </c>
      <c r="F258">
        <v>3.1300000000000001E-2</v>
      </c>
      <c r="G258">
        <v>-1.5600000000000001E-2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-1.9200000000000005E-2</v>
      </c>
      <c r="C259">
        <f t="shared" si="6"/>
        <v>-2.7400000000000004E-2</v>
      </c>
      <c r="D259">
        <v>-2.2200000000000001E-2</v>
      </c>
      <c r="E259">
        <v>3.3000000000000004E-3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-2.6000000000000003E-3</v>
      </c>
      <c r="E260">
        <v>-1.8000000000000002E-2</v>
      </c>
      <c r="F260">
        <v>-6.8000000000000005E-3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5.2300000000000006E-2</v>
      </c>
      <c r="F261">
        <v>1.3700000000000002E-2</v>
      </c>
      <c r="G261">
        <v>2.4100000000000003E-2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1.6000000000000007E-3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-1.0900000000000002E-2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si="6"/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-1.2700000000000001E-2</v>
      </c>
      <c r="M263">
        <f t="shared" si="7"/>
        <v>-0.02</v>
      </c>
    </row>
    <row r="264" spans="1:13">
      <c r="A264">
        <v>198412</v>
      </c>
      <c r="B264">
        <f>'10-T-weights5'!B260</f>
        <v>2.4799999999999999E-2</v>
      </c>
      <c r="C264">
        <f t="shared" ref="C264:C327" si="8">B264-J264</f>
        <v>1.84E-2</v>
      </c>
      <c r="D264">
        <v>-6.5000000000000006E-3</v>
      </c>
      <c r="E264">
        <v>-2.5000000000000001E-3</v>
      </c>
      <c r="F264">
        <v>1.3100000000000001E-2</v>
      </c>
      <c r="G264">
        <v>-1.3600000000000001E-2</v>
      </c>
      <c r="J264">
        <v>6.4000000000000003E-3</v>
      </c>
      <c r="K264">
        <v>2.6600000000000002E-2</v>
      </c>
      <c r="M264">
        <f t="shared" ref="M264:M327" si="9">K264-J264</f>
        <v>2.0200000000000003E-2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-3.4100000000000005E-2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1.8000000000000002E-2</v>
      </c>
      <c r="C266">
        <f t="shared" si="8"/>
        <v>1.2200000000000003E-2</v>
      </c>
      <c r="D266">
        <v>1.0400000000000001E-2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-2.1999999999999997E-3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-2.3999999999999994E-3</v>
      </c>
      <c r="C268">
        <f t="shared" si="8"/>
        <v>-9.5999999999999992E-3</v>
      </c>
      <c r="D268">
        <v>-1E-3</v>
      </c>
      <c r="E268">
        <v>3.7200000000000004E-2</v>
      </c>
      <c r="F268">
        <v>1.5500000000000002E-2</v>
      </c>
      <c r="G268">
        <v>7.0999999999999995E-3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-2.3100000000000002E-2</v>
      </c>
      <c r="E269">
        <v>-9.4000000000000004E-3</v>
      </c>
      <c r="F269">
        <v>1.3300000000000001E-2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3.4999999999999996E-3</v>
      </c>
      <c r="E270">
        <v>4.0999999999999995E-3</v>
      </c>
      <c r="F270">
        <v>1.7600000000000001E-2</v>
      </c>
      <c r="G270">
        <v>-7.7000000000000002E-3</v>
      </c>
      <c r="J270">
        <v>5.5000000000000005E-3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-1.2000000000000005E-3</v>
      </c>
      <c r="C271">
        <f t="shared" si="8"/>
        <v>-7.4000000000000003E-3</v>
      </c>
      <c r="D271">
        <v>2.8700000000000003E-2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-1.5500000000000002E-2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2.2799999999999997E-2</v>
      </c>
      <c r="F272">
        <v>-7.000000000000001E-4</v>
      </c>
      <c r="G272">
        <v>1.84E-2</v>
      </c>
      <c r="J272">
        <v>5.5000000000000005E-3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-3.9400000000000004E-2</v>
      </c>
      <c r="C273">
        <f t="shared" si="8"/>
        <v>-4.5400000000000003E-2</v>
      </c>
      <c r="D273">
        <v>-1.8000000000000002E-2</v>
      </c>
      <c r="E273">
        <v>1.29E-2</v>
      </c>
      <c r="F273">
        <v>1.0900000000000002E-2</v>
      </c>
      <c r="G273">
        <v>1.6200000000000003E-2</v>
      </c>
      <c r="J273">
        <v>6.0000000000000001E-3</v>
      </c>
      <c r="K273">
        <v>-5.0499999999999996E-2</v>
      </c>
      <c r="M273">
        <f t="shared" si="9"/>
        <v>-5.6499999999999995E-2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-2.8399999999999998E-2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1.2100000000000001E-2</v>
      </c>
      <c r="C277">
        <f t="shared" si="8"/>
        <v>6.5000000000000006E-3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-7.0999999999999995E-3</v>
      </c>
      <c r="E278">
        <v>-7.7000000000000002E-3</v>
      </c>
      <c r="F278">
        <v>1.0900000000000002E-2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5.7800000000000004E-2</v>
      </c>
      <c r="M279">
        <f t="shared" si="9"/>
        <v>5.1800000000000006E-2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2.8900000000000002E-2</v>
      </c>
      <c r="G280">
        <v>-5.9999999999999995E-4</v>
      </c>
      <c r="J280">
        <v>5.2000000000000006E-3</v>
      </c>
      <c r="K280">
        <v>1.4000000000000002E-3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5.1100000000000007E-2</v>
      </c>
      <c r="C281">
        <f t="shared" si="8"/>
        <v>4.6200000000000005E-2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1.3000000000000001E-2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-4.5000000000000005E-3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2.0499999999999997E-2</v>
      </c>
      <c r="E285">
        <v>3.2199999999999999E-2</v>
      </c>
      <c r="F285">
        <v>-1E-3</v>
      </c>
      <c r="G285">
        <v>3.7200000000000004E-2</v>
      </c>
      <c r="J285">
        <v>4.5000000000000005E-3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-1.4199999999999999E-2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1.5600000000000001E-2</v>
      </c>
      <c r="C287">
        <f t="shared" si="8"/>
        <v>1.17E-2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3.9000000000000003E-3</v>
      </c>
      <c r="K287">
        <v>5.3E-3</v>
      </c>
      <c r="M287">
        <f t="shared" si="9"/>
        <v>1.3999999999999998E-3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-2.2000000000000002E-2</v>
      </c>
      <c r="M288">
        <f t="shared" si="9"/>
        <v>-2.69E-2</v>
      </c>
    </row>
    <row r="289" spans="1:13">
      <c r="A289">
        <v>198701</v>
      </c>
      <c r="B289">
        <f>'10-T-weights5'!B285</f>
        <v>0.12890000000000001</v>
      </c>
      <c r="C289">
        <f t="shared" si="8"/>
        <v>0.12470000000000002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2.1099999999999997E-2</v>
      </c>
      <c r="C291">
        <f t="shared" si="8"/>
        <v>1.6399999999999998E-2</v>
      </c>
      <c r="D291">
        <v>2.7000000000000001E-3</v>
      </c>
      <c r="E291">
        <v>1.61E-2</v>
      </c>
      <c r="F291">
        <v>1.3500000000000002E-2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-3.9000000000000003E-3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4.4199999999999996E-2</v>
      </c>
      <c r="C294">
        <f t="shared" si="8"/>
        <v>3.9399999999999998E-2</v>
      </c>
      <c r="D294">
        <v>-2.2100000000000002E-2</v>
      </c>
      <c r="E294">
        <v>1.0400000000000001E-2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-1.1200000000000002E-2</v>
      </c>
      <c r="E295">
        <v>7.3000000000000001E-3</v>
      </c>
      <c r="F295">
        <v>-6.1000000000000004E-3</v>
      </c>
      <c r="G295">
        <v>1.6399999999999998E-2</v>
      </c>
      <c r="J295">
        <v>4.5999999999999999E-3</v>
      </c>
      <c r="K295">
        <v>5.6100000000000004E-2</v>
      </c>
      <c r="M295">
        <f t="shared" si="9"/>
        <v>5.1500000000000004E-2</v>
      </c>
    </row>
    <row r="296" spans="1:13">
      <c r="A296">
        <v>198708</v>
      </c>
      <c r="B296">
        <f>'10-T-weights5'!B292</f>
        <v>3.9900000000000005E-2</v>
      </c>
      <c r="C296">
        <f t="shared" si="8"/>
        <v>3.5200000000000002E-2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4.0999999999999995E-2</v>
      </c>
      <c r="M296">
        <f t="shared" si="9"/>
        <v>3.6299999999999992E-2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4.5000000000000005E-3</v>
      </c>
      <c r="K297">
        <v>3.4000000000000002E-3</v>
      </c>
      <c r="M297">
        <f t="shared" si="9"/>
        <v>-1.1000000000000003E-3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4.2300000000000004E-2</v>
      </c>
      <c r="F298">
        <v>2.06E-2</v>
      </c>
      <c r="G298">
        <v>2.2599999999999999E-2</v>
      </c>
      <c r="J298">
        <v>6.0000000000000001E-3</v>
      </c>
      <c r="K298">
        <v>-0.26780000000000004</v>
      </c>
      <c r="M298">
        <f t="shared" si="9"/>
        <v>-0.27380000000000004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2.8700000000000003E-2</v>
      </c>
      <c r="E299">
        <v>2.9600000000000001E-2</v>
      </c>
      <c r="F299">
        <v>-1.8800000000000001E-2</v>
      </c>
      <c r="G299">
        <v>6.8000000000000005E-3</v>
      </c>
      <c r="J299">
        <v>3.4999999999999996E-3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-4.3899999999999995E-2</v>
      </c>
      <c r="F300">
        <v>2.9500000000000002E-2</v>
      </c>
      <c r="G300">
        <v>-2.46E-2</v>
      </c>
      <c r="J300">
        <v>3.9000000000000003E-3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2.2000000000000002E-2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3.3100000000000004E-2</v>
      </c>
      <c r="E302">
        <v>-1.6899999999999998E-2</v>
      </c>
      <c r="F302">
        <v>1.5500000000000002E-2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6.2400000000000004E-2</v>
      </c>
      <c r="E303">
        <v>7.4000000000000003E-3</v>
      </c>
      <c r="F303">
        <v>-2.6000000000000003E-3</v>
      </c>
      <c r="G303">
        <v>1.8200000000000001E-2</v>
      </c>
      <c r="J303">
        <v>4.4000000000000003E-3</v>
      </c>
      <c r="K303">
        <v>1.7000000000000001E-3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2.2000000000000006E-3</v>
      </c>
      <c r="C305">
        <f t="shared" si="8"/>
        <v>-2.8999999999999998E-3</v>
      </c>
      <c r="D305">
        <v>-2.5700000000000001E-2</v>
      </c>
      <c r="E305">
        <v>2.4199999999999999E-2</v>
      </c>
      <c r="F305">
        <v>-7.4000000000000003E-3</v>
      </c>
      <c r="G305">
        <v>3.3000000000000004E-3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2.1400000000000002E-2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-2.7200000000000005E-2</v>
      </c>
      <c r="C308">
        <f t="shared" si="8"/>
        <v>-3.3100000000000004E-2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-1.3500000000000002E-2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-2.9500000000000002E-2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1.3000000000000001E-2</v>
      </c>
      <c r="F311">
        <v>-2.8000000000000004E-3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6.1000000000000006E-2</v>
      </c>
      <c r="D313">
        <v>-2.3100000000000002E-2</v>
      </c>
      <c r="E313">
        <v>6.1999999999999998E-3</v>
      </c>
      <c r="F313">
        <v>-9.4999999999999998E-3</v>
      </c>
      <c r="G313">
        <v>1.4000000000000002E-3</v>
      </c>
      <c r="J313">
        <v>5.5000000000000005E-3</v>
      </c>
      <c r="K313">
        <v>6.6500000000000004E-2</v>
      </c>
      <c r="M313">
        <f t="shared" si="9"/>
        <v>6.1000000000000006E-2</v>
      </c>
    </row>
    <row r="314" spans="1:13">
      <c r="A314">
        <v>198902</v>
      </c>
      <c r="B314">
        <f>'10-T-weights5'!B310</f>
        <v>-1.6399999999999998E-2</v>
      </c>
      <c r="C314">
        <f t="shared" si="8"/>
        <v>-2.2499999999999999E-2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2.2400000000000003E-2</v>
      </c>
      <c r="C315">
        <f t="shared" si="8"/>
        <v>1.5700000000000002E-2</v>
      </c>
      <c r="D315">
        <v>6.8000000000000005E-3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4.9999999999999996E-2</v>
      </c>
      <c r="C316">
        <f t="shared" si="8"/>
        <v>4.3299999999999998E-2</v>
      </c>
      <c r="D316">
        <v>-7.8000000000000005E-3</v>
      </c>
      <c r="E316">
        <v>-1.3999999999999999E-2</v>
      </c>
      <c r="F316">
        <v>7.0999999999999995E-3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4.1400000000000006E-2</v>
      </c>
      <c r="C317">
        <f t="shared" si="8"/>
        <v>3.3500000000000002E-2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-1.0900000000000002E-2</v>
      </c>
      <c r="E318">
        <v>2.23E-2</v>
      </c>
      <c r="F318">
        <v>2.7000000000000001E-3</v>
      </c>
      <c r="G318">
        <v>1.5500000000000002E-2</v>
      </c>
      <c r="J318">
        <v>7.0999999999999995E-3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0.10160000000000001</v>
      </c>
      <c r="M319">
        <f t="shared" si="9"/>
        <v>9.4600000000000017E-2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3.9000000000000003E-3</v>
      </c>
      <c r="G320">
        <v>-5.6999999999999993E-3</v>
      </c>
      <c r="J320">
        <v>7.4000000000000003E-3</v>
      </c>
      <c r="K320">
        <v>2.1800000000000003E-2</v>
      </c>
      <c r="M320">
        <f t="shared" si="9"/>
        <v>1.4400000000000003E-2</v>
      </c>
    </row>
    <row r="321" spans="1:13">
      <c r="A321">
        <v>198909</v>
      </c>
      <c r="B321">
        <f>'10-T-weights5'!B317</f>
        <v>-1.0999999999999994E-3</v>
      </c>
      <c r="C321">
        <f t="shared" si="8"/>
        <v>-7.6E-3</v>
      </c>
      <c r="D321">
        <v>4.8999999999999998E-3</v>
      </c>
      <c r="E321">
        <v>-1.2700000000000001E-2</v>
      </c>
      <c r="F321">
        <v>1.3999999999999999E-2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-2.9900000000000003E-2</v>
      </c>
      <c r="C322">
        <f t="shared" si="8"/>
        <v>-3.6700000000000003E-2</v>
      </c>
      <c r="D322">
        <v>-3.32E-2</v>
      </c>
      <c r="E322">
        <v>-1.11E-2</v>
      </c>
      <c r="F322">
        <v>1E-3</v>
      </c>
      <c r="G322">
        <v>-2.9999999999999997E-4</v>
      </c>
      <c r="J322">
        <v>6.8000000000000005E-3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-1.0900000000000002E-2</v>
      </c>
      <c r="F323">
        <v>-8.6E-3</v>
      </c>
      <c r="G323">
        <v>1.3700000000000002E-2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-2.2799999999999997E-2</v>
      </c>
      <c r="E324">
        <v>1.6000000000000001E-3</v>
      </c>
      <c r="F324">
        <v>-7.000000000000001E-4</v>
      </c>
      <c r="G324">
        <v>1.4499999999999999E-2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-1.3200000000000002E-2</v>
      </c>
      <c r="E325">
        <v>8.5000000000000006E-3</v>
      </c>
      <c r="F325">
        <v>-1.18E-2</v>
      </c>
      <c r="G325">
        <v>1.3700000000000002E-2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si="8"/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3.8900000000000004E-2</v>
      </c>
      <c r="M327">
        <f t="shared" si="9"/>
        <v>3.2500000000000001E-2</v>
      </c>
    </row>
    <row r="328" spans="1:13">
      <c r="A328">
        <v>199004</v>
      </c>
      <c r="B328">
        <f>'10-T-weights5'!B324</f>
        <v>-2.6699999999999998E-2</v>
      </c>
      <c r="C328">
        <f t="shared" ref="C328:C391" si="10">B328-J328</f>
        <v>-3.3599999999999998E-2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ref="M328:M391" si="11">K328-J328</f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-2.3700000000000002E-2</v>
      </c>
      <c r="E329">
        <v>-3.8300000000000001E-2</v>
      </c>
      <c r="F329">
        <v>1.54E-2</v>
      </c>
      <c r="G329">
        <v>-1.5800000000000002E-2</v>
      </c>
      <c r="J329">
        <v>6.8000000000000005E-3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-1.1000000000000001E-2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-1.2199999999999999E-2</v>
      </c>
      <c r="C331">
        <f t="shared" si="10"/>
        <v>-1.9E-2</v>
      </c>
      <c r="D331">
        <v>-3.1400000000000004E-2</v>
      </c>
      <c r="E331">
        <v>-4.0000000000000002E-4</v>
      </c>
      <c r="F331">
        <v>-1.1000000000000001E-3</v>
      </c>
      <c r="G331">
        <v>3.2300000000000002E-2</v>
      </c>
      <c r="J331">
        <v>6.8000000000000005E-3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-3.4999999999999996E-3</v>
      </c>
      <c r="G332">
        <v>2.9900000000000003E-2</v>
      </c>
      <c r="J332">
        <v>6.6000000000000008E-3</v>
      </c>
      <c r="K332">
        <v>-0.10310000000000001</v>
      </c>
      <c r="M332">
        <f t="shared" si="11"/>
        <v>-0.10970000000000001</v>
      </c>
    </row>
    <row r="333" spans="1:13">
      <c r="A333">
        <v>199009</v>
      </c>
      <c r="B333">
        <f>'10-T-weights5'!B329</f>
        <v>-5.5200000000000006E-2</v>
      </c>
      <c r="C333">
        <f t="shared" si="10"/>
        <v>-6.1200000000000004E-2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-1.2399999999999998E-2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6.8000000000000005E-3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-2.9700000000000004E-2</v>
      </c>
      <c r="F335">
        <v>5.0000000000000001E-3</v>
      </c>
      <c r="G335">
        <v>-4.6900000000000004E-2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3.0600000000000002E-2</v>
      </c>
      <c r="C336">
        <f t="shared" si="10"/>
        <v>2.4600000000000004E-2</v>
      </c>
      <c r="D336">
        <v>6.4000000000000003E-3</v>
      </c>
      <c r="E336">
        <v>-1.6299999999999999E-2</v>
      </c>
      <c r="F336">
        <v>2.6400000000000003E-2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3.8900000000000004E-2</v>
      </c>
      <c r="E337">
        <v>-1.5700000000000002E-2</v>
      </c>
      <c r="F337">
        <v>1.26E-2</v>
      </c>
      <c r="G337">
        <v>-3.85E-2</v>
      </c>
      <c r="J337">
        <v>5.2000000000000006E-3</v>
      </c>
      <c r="K337">
        <v>6.0599999999999994E-2</v>
      </c>
      <c r="M337">
        <f t="shared" si="11"/>
        <v>5.5399999999999991E-2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-1.3000000000000001E-2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2.4999999999999996E-3</v>
      </c>
      <c r="C340">
        <f t="shared" si="10"/>
        <v>-2.8000000000000004E-3</v>
      </c>
      <c r="D340">
        <v>3.2000000000000002E-3</v>
      </c>
      <c r="E340">
        <v>1.4499999999999999E-2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2.0499999999999997E-2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-4.5200000000000004E-2</v>
      </c>
      <c r="C342">
        <f t="shared" si="10"/>
        <v>-4.9400000000000006E-2</v>
      </c>
      <c r="D342">
        <v>2.6000000000000003E-3</v>
      </c>
      <c r="E342">
        <v>1.0700000000000001E-2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-1.3200000000000002E-2</v>
      </c>
      <c r="F343">
        <v>1.61E-2</v>
      </c>
      <c r="G343">
        <v>-1.3600000000000001E-2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-7.8000000000000005E-3</v>
      </c>
      <c r="F344">
        <v>8.5000000000000006E-3</v>
      </c>
      <c r="G344">
        <v>-3.4000000000000002E-3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-1.1300000000000001E-2</v>
      </c>
      <c r="C345">
        <f t="shared" si="10"/>
        <v>-1.5900000000000001E-2</v>
      </c>
      <c r="D345">
        <v>1.5600000000000001E-2</v>
      </c>
      <c r="E345">
        <v>-1.0700000000000001E-2</v>
      </c>
      <c r="F345">
        <v>-1.8000000000000002E-2</v>
      </c>
      <c r="G345">
        <v>8.0000000000000004E-4</v>
      </c>
      <c r="J345">
        <v>4.5999999999999999E-3</v>
      </c>
      <c r="K345">
        <v>6.8000000000000005E-3</v>
      </c>
      <c r="M345">
        <f t="shared" si="11"/>
        <v>2.2000000000000006E-3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-3.8000000000000006E-2</v>
      </c>
      <c r="C347">
        <f t="shared" si="10"/>
        <v>-4.1900000000000007E-2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3.9000000000000003E-3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-3.1200000000000002E-2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-2.4999999999999996E-3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3.4000000000000002E-3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1.3700000000000002E-2</v>
      </c>
      <c r="C350">
        <f t="shared" si="10"/>
        <v>1.0900000000000002E-2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2.8000000000000004E-3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-2.3200000000000002E-2</v>
      </c>
      <c r="C351">
        <f t="shared" si="10"/>
        <v>-2.6600000000000002E-2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3.4000000000000002E-3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1.3900000000000001E-2</v>
      </c>
      <c r="C352">
        <f t="shared" si="10"/>
        <v>1.0700000000000001E-2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5.8000000000000005E-3</v>
      </c>
      <c r="C353">
        <f t="shared" si="10"/>
        <v>3.0000000000000001E-3</v>
      </c>
      <c r="D353">
        <v>2.0999999999999999E-3</v>
      </c>
      <c r="E353">
        <v>1.1899999999999999E-2</v>
      </c>
      <c r="F353">
        <v>-9.5999999999999992E-3</v>
      </c>
      <c r="G353">
        <v>4.7999999999999996E-3</v>
      </c>
      <c r="J353">
        <v>2.8000000000000004E-3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-2.7400000000000004E-2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-5.5000000000000005E-3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-2.1199999999999997E-2</v>
      </c>
      <c r="C356">
        <f t="shared" si="10"/>
        <v>-2.3799999999999998E-2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2.6000000000000003E-3</v>
      </c>
      <c r="K356">
        <v>-4.5599999999999995E-2</v>
      </c>
      <c r="M356">
        <f t="shared" si="11"/>
        <v>-4.8199999999999993E-2</v>
      </c>
    </row>
    <row r="357" spans="1:13">
      <c r="A357">
        <v>199209</v>
      </c>
      <c r="B357">
        <f>'10-T-weights5'!B353</f>
        <v>1.4499999999999999E-2</v>
      </c>
      <c r="C357">
        <f t="shared" si="10"/>
        <v>1.1899999999999999E-2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2.6000000000000003E-3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-1.4199999999999999E-2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2.8000000000000004E-3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1.1600000000000001E-2</v>
      </c>
      <c r="C361">
        <f t="shared" si="10"/>
        <v>9.300000000000001E-3</v>
      </c>
      <c r="D361">
        <v>1.89E-2</v>
      </c>
      <c r="E361">
        <v>5.9500000000000004E-2</v>
      </c>
      <c r="F361">
        <v>-1.8500000000000003E-2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3.4000000000000002E-3</v>
      </c>
      <c r="C362">
        <f t="shared" si="10"/>
        <v>1.2000000000000001E-3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1.1899999999999999E-2</v>
      </c>
      <c r="F363">
        <v>-1.7000000000000001E-3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-3.6000000000000004E-2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3.1100000000000003E-2</v>
      </c>
      <c r="C365">
        <f t="shared" si="10"/>
        <v>2.8900000000000002E-2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2.7200000000000002E-2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-1.0000000000000005E-3</v>
      </c>
      <c r="C367">
        <f t="shared" si="10"/>
        <v>-3.4000000000000002E-3</v>
      </c>
      <c r="D367">
        <v>9.1999999999999998E-3</v>
      </c>
      <c r="E367">
        <v>2.8199999999999999E-2</v>
      </c>
      <c r="F367">
        <v>-1.8500000000000003E-2</v>
      </c>
      <c r="G367">
        <v>2.0499999999999997E-2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1.4000000000000002E-3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1.4000000000000004E-3</v>
      </c>
      <c r="C369">
        <f t="shared" si="10"/>
        <v>-1.1999999999999999E-3</v>
      </c>
      <c r="D369">
        <v>2.9399999999999999E-2</v>
      </c>
      <c r="E369">
        <v>-3.4999999999999996E-3</v>
      </c>
      <c r="F369">
        <v>2.5000000000000001E-3</v>
      </c>
      <c r="G369">
        <v>-1.6000000000000001E-3</v>
      </c>
      <c r="J369">
        <v>2.6000000000000003E-3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-3.4000000000000002E-3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3.1200000000000002E-2</v>
      </c>
      <c r="C373">
        <f t="shared" si="10"/>
        <v>2.8700000000000003E-2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-2.3399999999999997E-2</v>
      </c>
      <c r="C374">
        <f t="shared" si="10"/>
        <v>-2.5499999999999998E-2</v>
      </c>
      <c r="D374">
        <v>2.6700000000000002E-2</v>
      </c>
      <c r="E374">
        <v>-1.5600000000000001E-2</v>
      </c>
      <c r="F374">
        <v>2.1499999999999998E-2</v>
      </c>
      <c r="G374">
        <v>-0.01</v>
      </c>
      <c r="J374">
        <v>2.0999999999999999E-3</v>
      </c>
      <c r="K374">
        <v>-1.1899999999999999E-2</v>
      </c>
      <c r="M374">
        <f t="shared" si="11"/>
        <v>-1.3999999999999999E-2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-1.0900000000000002E-2</v>
      </c>
      <c r="E375">
        <v>1.5500000000000002E-2</v>
      </c>
      <c r="F375">
        <v>7.0999999999999995E-3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3.4000000000000002E-3</v>
      </c>
      <c r="M376">
        <f t="shared" si="11"/>
        <v>7.000000000000001E-4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6.8000000000000005E-3</v>
      </c>
      <c r="J377">
        <v>3.0999999999999999E-3</v>
      </c>
      <c r="K377">
        <v>-2.3100000000000002E-2</v>
      </c>
      <c r="M377">
        <f t="shared" si="11"/>
        <v>-2.6200000000000001E-2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2.8000000000000004E-3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-2.3100000000000002E-2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-3.6699999999999997E-2</v>
      </c>
      <c r="C383">
        <f t="shared" si="10"/>
        <v>-4.0399999999999998E-2</v>
      </c>
      <c r="D383">
        <v>1.3000000000000002E-3</v>
      </c>
      <c r="E383">
        <v>-7.3000000000000001E-3</v>
      </c>
      <c r="F383">
        <v>4.0000000000000001E-3</v>
      </c>
      <c r="G383">
        <v>-3.9000000000000003E-3</v>
      </c>
      <c r="J383">
        <v>3.7000000000000002E-3</v>
      </c>
      <c r="K383">
        <v>-5.3099999999999994E-2</v>
      </c>
      <c r="M383">
        <f t="shared" si="11"/>
        <v>-5.6799999999999996E-2</v>
      </c>
    </row>
    <row r="384" spans="1:13">
      <c r="A384">
        <v>199412</v>
      </c>
      <c r="B384">
        <f>'10-T-weights5'!B380</f>
        <v>1.3000000000000001E-2</v>
      </c>
      <c r="C384">
        <f t="shared" si="10"/>
        <v>8.6E-3</v>
      </c>
      <c r="D384">
        <v>-4.0000000000000002E-4</v>
      </c>
      <c r="E384">
        <v>-8.9999999999999998E-4</v>
      </c>
      <c r="F384">
        <v>3.9000000000000003E-3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2.5099999999999997E-2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1.0900000000000002E-2</v>
      </c>
      <c r="F386">
        <v>5.6000000000000008E-3</v>
      </c>
      <c r="G386">
        <v>-2.8000000000000004E-3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-2.0800000000000003E-2</v>
      </c>
      <c r="F387">
        <v>-1.3000000000000002E-3</v>
      </c>
      <c r="G387">
        <v>2.3999999999999998E-3</v>
      </c>
      <c r="J387">
        <v>4.5999999999999999E-3</v>
      </c>
      <c r="K387">
        <v>3.9700000000000006E-2</v>
      </c>
      <c r="M387">
        <f t="shared" si="11"/>
        <v>3.5100000000000006E-2</v>
      </c>
    </row>
    <row r="388" spans="1:13">
      <c r="A388">
        <v>199504</v>
      </c>
      <c r="B388">
        <f>'10-T-weights5'!B384</f>
        <v>2.5500000000000002E-2</v>
      </c>
      <c r="C388">
        <f t="shared" si="10"/>
        <v>2.1100000000000001E-2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-2.1800000000000003E-2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2.6600000000000002E-2</v>
      </c>
      <c r="M389">
        <f t="shared" si="11"/>
        <v>2.1200000000000004E-2</v>
      </c>
    </row>
    <row r="390" spans="1:13">
      <c r="A390">
        <v>199506</v>
      </c>
      <c r="B390">
        <f>'10-T-weights5'!B386</f>
        <v>3.1900000000000005E-2</v>
      </c>
      <c r="C390">
        <f t="shared" si="10"/>
        <v>2.7200000000000005E-2</v>
      </c>
      <c r="D390">
        <v>3.0299999999999997E-2</v>
      </c>
      <c r="E390">
        <v>-2.5400000000000002E-2</v>
      </c>
      <c r="F390">
        <v>-3.4999999999999996E-3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si="10"/>
        <v>3.7199999999999997E-2</v>
      </c>
      <c r="D391">
        <v>2.0800000000000003E-2</v>
      </c>
      <c r="E391">
        <v>-1.5900000000000001E-2</v>
      </c>
      <c r="F391">
        <v>2.8000000000000004E-3</v>
      </c>
      <c r="G391">
        <v>-1.6399999999999998E-2</v>
      </c>
      <c r="J391">
        <v>4.5000000000000005E-3</v>
      </c>
      <c r="K391">
        <v>6.5500000000000003E-2</v>
      </c>
      <c r="M391">
        <f t="shared" si="11"/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ref="C392:C455" si="12">B392-J392</f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ref="M392:M455" si="13">K392-J392</f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3.2799999999999996E-2</v>
      </c>
      <c r="M393">
        <f t="shared" si="13"/>
        <v>2.8499999999999998E-2</v>
      </c>
    </row>
    <row r="394" spans="1:13">
      <c r="A394">
        <v>199510</v>
      </c>
      <c r="B394">
        <f>'10-T-weights5'!B390</f>
        <v>-1.0499999999999999E-2</v>
      </c>
      <c r="C394">
        <f t="shared" si="12"/>
        <v>-1.5199999999999998E-2</v>
      </c>
      <c r="D394">
        <v>-4.0700000000000007E-2</v>
      </c>
      <c r="E394">
        <v>-5.1000000000000004E-3</v>
      </c>
      <c r="F394">
        <v>1.8600000000000002E-2</v>
      </c>
      <c r="G394">
        <v>-4.0000000000000002E-4</v>
      </c>
      <c r="J394">
        <v>4.7000000000000002E-3</v>
      </c>
      <c r="K394">
        <v>-3.3000000000000004E-3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4.3800000000000006E-2</v>
      </c>
      <c r="C395">
        <f t="shared" si="12"/>
        <v>3.9600000000000003E-2</v>
      </c>
      <c r="D395">
        <v>-1.0700000000000001E-2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2.3100000000000002E-2</v>
      </c>
      <c r="J397">
        <v>4.3E-3</v>
      </c>
      <c r="K397">
        <v>2.7000000000000003E-2</v>
      </c>
      <c r="M397">
        <f t="shared" si="13"/>
        <v>2.2700000000000005E-2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-1.0700000000000001E-2</v>
      </c>
      <c r="F398">
        <v>2.3999999999999998E-3</v>
      </c>
      <c r="G398">
        <v>-1.89E-2</v>
      </c>
      <c r="J398">
        <v>3.9000000000000003E-3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7.2999999999999992E-3</v>
      </c>
      <c r="D399">
        <v>1.6399999999999998E-2</v>
      </c>
      <c r="E399">
        <v>3.5999999999999999E-3</v>
      </c>
      <c r="F399">
        <v>1.4800000000000001E-2</v>
      </c>
      <c r="G399">
        <v>-9.5999999999999992E-3</v>
      </c>
      <c r="J399">
        <v>3.9000000000000003E-3</v>
      </c>
      <c r="K399">
        <v>4.5999999999999999E-3</v>
      </c>
      <c r="M399">
        <f t="shared" si="13"/>
        <v>6.9999999999999967E-4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2.3799999999999998E-2</v>
      </c>
      <c r="F402">
        <v>3.4799999999999998E-2</v>
      </c>
      <c r="G402">
        <v>1.2E-2</v>
      </c>
      <c r="J402">
        <v>4.0000000000000001E-3</v>
      </c>
      <c r="K402">
        <v>-4.1100000000000005E-2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2.9700000000000004E-2</v>
      </c>
      <c r="G403">
        <v>2.5600000000000001E-2</v>
      </c>
      <c r="J403">
        <v>4.5000000000000005E-3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-4.0999999999999995E-3</v>
      </c>
      <c r="G404">
        <v>-2.4E-2</v>
      </c>
      <c r="J404">
        <v>4.0999999999999995E-3</v>
      </c>
      <c r="K404">
        <v>5.7699999999999994E-2</v>
      </c>
      <c r="M404">
        <f t="shared" si="13"/>
        <v>5.3599999999999995E-2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-2.7000000000000003E-2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1.2799999999999999E-2</v>
      </c>
      <c r="C406">
        <f t="shared" si="12"/>
        <v>8.6E-3</v>
      </c>
      <c r="D406">
        <v>-3.7600000000000001E-2</v>
      </c>
      <c r="E406">
        <v>4.9400000000000006E-2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-7.8000000000000005E-3</v>
      </c>
      <c r="J407">
        <v>4.0999999999999995E-3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-1.2400000000000001E-2</v>
      </c>
      <c r="C408">
        <f t="shared" si="12"/>
        <v>-1.7000000000000001E-2</v>
      </c>
      <c r="D408">
        <v>3.2599999999999997E-2</v>
      </c>
      <c r="E408">
        <v>1.3200000000000002E-2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5.4400000000000004E-2</v>
      </c>
      <c r="C409">
        <f t="shared" si="12"/>
        <v>4.99E-2</v>
      </c>
      <c r="D409">
        <v>-1.83E-2</v>
      </c>
      <c r="E409">
        <v>-1.46E-2</v>
      </c>
      <c r="F409">
        <v>1.2200000000000001E-2</v>
      </c>
      <c r="G409">
        <v>-1.3000000000000002E-3</v>
      </c>
      <c r="J409">
        <v>4.5000000000000005E-3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5.6900000000000006E-2</v>
      </c>
      <c r="F410">
        <v>6.5000000000000006E-3</v>
      </c>
      <c r="G410">
        <v>3.4799999999999998E-2</v>
      </c>
      <c r="J410">
        <v>3.9000000000000003E-3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-4.6000000000000006E-2</v>
      </c>
      <c r="C411">
        <f t="shared" si="12"/>
        <v>-5.0300000000000004E-2</v>
      </c>
      <c r="D411">
        <v>-4.1999999999999997E-3</v>
      </c>
      <c r="E411">
        <v>3.4000000000000002E-2</v>
      </c>
      <c r="F411">
        <v>4.5000000000000005E-3</v>
      </c>
      <c r="G411">
        <v>1.7000000000000001E-2</v>
      </c>
      <c r="J411">
        <v>4.3E-3</v>
      </c>
      <c r="K411">
        <v>-4.5700000000000005E-2</v>
      </c>
      <c r="M411">
        <f t="shared" si="13"/>
        <v>-0.05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3.2400000000000005E-2</v>
      </c>
      <c r="G412">
        <v>-7.0999999999999995E-3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-2.9500000000000002E-2</v>
      </c>
      <c r="J413">
        <v>4.8999999999999998E-3</v>
      </c>
      <c r="K413">
        <v>6.1399999999999996E-2</v>
      </c>
      <c r="M413">
        <f t="shared" si="13"/>
        <v>5.6499999999999995E-2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-2.7700000000000002E-2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-1.0900000000000002E-2</v>
      </c>
      <c r="G416">
        <v>8.9999999999999998E-4</v>
      </c>
      <c r="J416">
        <v>4.0999999999999995E-3</v>
      </c>
      <c r="K416">
        <v>-2.7000000000000003E-2</v>
      </c>
      <c r="M416">
        <f t="shared" si="13"/>
        <v>-3.1100000000000003E-2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2.4900000000000002E-2</v>
      </c>
      <c r="E417">
        <v>3.8E-3</v>
      </c>
      <c r="F417">
        <v>-1.6200000000000003E-2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-5.5000000000000005E-3</v>
      </c>
      <c r="E418">
        <v>2.2499999999999999E-2</v>
      </c>
      <c r="F418">
        <v>1.0400000000000001E-2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1.1899999999999999E-2</v>
      </c>
      <c r="F419">
        <v>2.81E-2</v>
      </c>
      <c r="G419">
        <v>1.67E-2</v>
      </c>
      <c r="J419">
        <v>3.9000000000000003E-3</v>
      </c>
      <c r="K419">
        <v>1.1899999999999999E-2</v>
      </c>
      <c r="M419">
        <f t="shared" si="13"/>
        <v>7.9999999999999984E-3</v>
      </c>
    </row>
    <row r="420" spans="1:13">
      <c r="A420">
        <v>199712</v>
      </c>
      <c r="B420">
        <f>'10-T-weights5'!B416</f>
        <v>1.8000000000000002E-2</v>
      </c>
      <c r="C420">
        <f t="shared" si="12"/>
        <v>1.3200000000000003E-2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-1.3600000000000001E-2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-3.4000000000000002E-3</v>
      </c>
      <c r="G422">
        <v>-2.3199999999999998E-2</v>
      </c>
      <c r="J422">
        <v>3.9000000000000003E-3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-4.0999999999999995E-3</v>
      </c>
      <c r="J423">
        <v>3.9000000000000003E-3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5.5099999999999996E-2</v>
      </c>
      <c r="M424">
        <f t="shared" si="13"/>
        <v>5.0799999999999998E-2</v>
      </c>
    </row>
    <row r="425" spans="1:13">
      <c r="A425">
        <v>199805</v>
      </c>
      <c r="B425">
        <f>'10-T-weights5'!B421</f>
        <v>-2.6699999999999998E-2</v>
      </c>
      <c r="C425">
        <f t="shared" si="12"/>
        <v>-3.0699999999999998E-2</v>
      </c>
      <c r="D425">
        <v>-2.92E-2</v>
      </c>
      <c r="E425">
        <v>3.4000000000000002E-2</v>
      </c>
      <c r="F425">
        <v>1.0800000000000001E-2</v>
      </c>
      <c r="G425">
        <v>2.7400000000000004E-2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-2.6000000000000003E-3</v>
      </c>
      <c r="G426">
        <v>-3.1300000000000001E-2</v>
      </c>
      <c r="J426">
        <v>4.0999999999999995E-3</v>
      </c>
      <c r="K426">
        <v>9.6600000000000005E-2</v>
      </c>
      <c r="M426">
        <f t="shared" si="13"/>
        <v>9.2499999999999999E-2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4.5000000000000005E-3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3.6000000000000004E-2</v>
      </c>
      <c r="F428">
        <v>3.44E-2</v>
      </c>
      <c r="G428">
        <v>5.8900000000000001E-2</v>
      </c>
      <c r="J428">
        <v>4.3E-3</v>
      </c>
      <c r="K428">
        <v>-0.16890000000000002</v>
      </c>
      <c r="M428">
        <f t="shared" si="13"/>
        <v>-0.17320000000000002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4.0999999999999995E-2</v>
      </c>
      <c r="M430">
        <f t="shared" si="13"/>
        <v>3.7799999999999993E-2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7.0999999999999995E-3</v>
      </c>
      <c r="E431">
        <v>-3.2300000000000002E-2</v>
      </c>
      <c r="F431">
        <v>-9.1000000000000004E-3</v>
      </c>
      <c r="G431">
        <v>-1.1399999999999999E-2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-1.5700000000000002E-2</v>
      </c>
      <c r="E432">
        <v>-4.1799999999999997E-2</v>
      </c>
      <c r="F432">
        <v>-7.6E-3</v>
      </c>
      <c r="G432">
        <v>-3.4100000000000005E-2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3.8500000000000006E-2</v>
      </c>
      <c r="C433">
        <f t="shared" si="12"/>
        <v>3.5000000000000003E-2</v>
      </c>
      <c r="D433">
        <v>-7.3000000000000001E-3</v>
      </c>
      <c r="E433">
        <v>-4.6200000000000005E-2</v>
      </c>
      <c r="F433">
        <v>-2.7900000000000001E-2</v>
      </c>
      <c r="G433">
        <v>-6.7799999999999999E-2</v>
      </c>
      <c r="J433">
        <v>3.4999999999999996E-3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-5.2000000000000005E-2</v>
      </c>
      <c r="E434">
        <v>1.8800000000000001E-2</v>
      </c>
      <c r="F434">
        <v>-1.17E-2</v>
      </c>
      <c r="G434">
        <v>4.0599999999999997E-2</v>
      </c>
      <c r="J434">
        <v>3.4999999999999996E-3</v>
      </c>
      <c r="K434">
        <v>-4.6800000000000001E-2</v>
      </c>
      <c r="M434">
        <f t="shared" si="13"/>
        <v>-5.0299999999999997E-2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-4.2300000000000004E-2</v>
      </c>
      <c r="E435">
        <v>-2.7700000000000002E-2</v>
      </c>
      <c r="F435">
        <v>-4.0999999999999995E-2</v>
      </c>
      <c r="G435">
        <v>-1.41E-2</v>
      </c>
      <c r="J435">
        <v>4.3E-3</v>
      </c>
      <c r="K435">
        <v>5.7699999999999994E-2</v>
      </c>
      <c r="M435">
        <f t="shared" si="13"/>
        <v>5.3399999999999996E-2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2.4100000000000003E-2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3.4000000000000002E-3</v>
      </c>
      <c r="K437">
        <v>-3.0699999999999998E-2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5.1699999999999996E-2</v>
      </c>
      <c r="C438">
        <f t="shared" si="12"/>
        <v>4.7699999999999992E-2</v>
      </c>
      <c r="D438">
        <v>2.3E-2</v>
      </c>
      <c r="E438">
        <v>-3.27E-2</v>
      </c>
      <c r="F438">
        <v>1.1200000000000002E-2</v>
      </c>
      <c r="G438">
        <v>-3.2400000000000005E-2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3.9000000000000003E-3</v>
      </c>
      <c r="K440">
        <v>9.0000000000000011E-3</v>
      </c>
      <c r="M440">
        <f t="shared" si="13"/>
        <v>5.1000000000000004E-3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3.9000000000000003E-3</v>
      </c>
      <c r="K441">
        <v>2.2000000000000001E-3</v>
      </c>
      <c r="M441">
        <f t="shared" si="13"/>
        <v>-1.7000000000000001E-3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3.9000000000000003E-3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5.7999999999999996E-2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-5.6100000000000004E-2</v>
      </c>
      <c r="J444">
        <v>4.4000000000000003E-3</v>
      </c>
      <c r="K444">
        <v>0.21789999999999998</v>
      </c>
      <c r="M444">
        <f t="shared" si="13"/>
        <v>0.2135</v>
      </c>
    </row>
    <row r="445" spans="1:13">
      <c r="A445">
        <v>200001</v>
      </c>
      <c r="B445">
        <f>'10-T-weights5'!B441</f>
        <v>-4.3300000000000005E-2</v>
      </c>
      <c r="C445">
        <f t="shared" si="12"/>
        <v>-4.7400000000000005E-2</v>
      </c>
      <c r="D445">
        <v>4.4500000000000005E-2</v>
      </c>
      <c r="E445">
        <v>-1.89E-2</v>
      </c>
      <c r="F445">
        <v>-6.2899999999999998E-2</v>
      </c>
      <c r="G445">
        <v>4.7400000000000005E-2</v>
      </c>
      <c r="J445">
        <v>4.0999999999999995E-3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-0.18760000000000002</v>
      </c>
      <c r="G446">
        <v>-3.4999999999999996E-3</v>
      </c>
      <c r="J446">
        <v>4.3E-3</v>
      </c>
      <c r="K446">
        <v>0.20809999999999998</v>
      </c>
      <c r="M446">
        <f t="shared" si="13"/>
        <v>0.20379999999999998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-3.9200000000000006E-2</v>
      </c>
      <c r="C449">
        <f t="shared" si="12"/>
        <v>-4.4200000000000003E-2</v>
      </c>
      <c r="D449">
        <v>-3.8700000000000005E-2</v>
      </c>
      <c r="E449">
        <v>4.8300000000000003E-2</v>
      </c>
      <c r="F449">
        <v>4.1799999999999997E-2</v>
      </c>
      <c r="G449">
        <v>1.3200000000000002E-2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-3.2400000000000005E-2</v>
      </c>
      <c r="M451">
        <f t="shared" si="13"/>
        <v>-3.7200000000000004E-2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-1.3700000000000002E-2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2.6000000000000003E-3</v>
      </c>
      <c r="E453">
        <v>7.17E-2</v>
      </c>
      <c r="F453">
        <v>2.8900000000000002E-2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-2.7200000000000002E-2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si="12"/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-0.24300000000000002</v>
      </c>
      <c r="M455">
        <f t="shared" si="13"/>
        <v>-0.24810000000000001</v>
      </c>
    </row>
    <row r="456" spans="1:13">
      <c r="A456">
        <v>200012</v>
      </c>
      <c r="B456">
        <f>'10-T-weights5'!B452</f>
        <v>1.6899999999999998E-2</v>
      </c>
      <c r="C456">
        <f t="shared" ref="C456:C519" si="14">B456-J456</f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5.9000000000000004E-2</v>
      </c>
      <c r="M456">
        <f t="shared" ref="M456:M519" si="15">K456-J456</f>
        <v>5.4000000000000006E-2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-5.1100000000000007E-2</v>
      </c>
      <c r="F457">
        <v>-5.4600000000000003E-2</v>
      </c>
      <c r="G457">
        <v>-5.0499999999999996E-2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0.12480000000000001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3.9000000000000003E-3</v>
      </c>
      <c r="K460">
        <v>5.6799999999999996E-2</v>
      </c>
      <c r="M460">
        <f t="shared" si="15"/>
        <v>5.2899999999999996E-2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1.2700000000000001E-2</v>
      </c>
      <c r="G462">
        <v>-1.5100000000000001E-2</v>
      </c>
      <c r="J462">
        <v>2.8000000000000004E-3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-2.8300000000000002E-2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-2.7999999999999997E-2</v>
      </c>
      <c r="M463">
        <f t="shared" si="15"/>
        <v>-3.0999999999999996E-2</v>
      </c>
    </row>
    <row r="464" spans="1:13">
      <c r="A464">
        <v>200108</v>
      </c>
      <c r="B464">
        <f>'10-T-weights5'!B460</f>
        <v>-6.1500000000000006E-2</v>
      </c>
      <c r="C464">
        <f t="shared" si="14"/>
        <v>-6.4600000000000005E-2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-5.7300000000000004E-2</v>
      </c>
      <c r="E465">
        <v>1.46E-2</v>
      </c>
      <c r="F465">
        <v>5.0300000000000004E-2</v>
      </c>
      <c r="G465">
        <v>3.2199999999999999E-2</v>
      </c>
      <c r="J465">
        <v>2.8000000000000004E-3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7.5399999999999995E-2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1.7000000000000001E-3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3.4999999999999996E-3</v>
      </c>
      <c r="G468">
        <v>-2.8000000000000004E-3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4.6900000000000004E-2</v>
      </c>
      <c r="G469">
        <v>2.8500000000000001E-2</v>
      </c>
      <c r="J469">
        <v>1.4000000000000002E-3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1.3000000000000002E-3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1.0700000000000001E-2</v>
      </c>
      <c r="F471">
        <v>-1.78E-2</v>
      </c>
      <c r="G471">
        <v>5.8999999999999999E-3</v>
      </c>
      <c r="J471">
        <v>1.3000000000000002E-3</v>
      </c>
      <c r="K471">
        <v>5.9000000000000004E-2</v>
      </c>
      <c r="M471">
        <f t="shared" si="15"/>
        <v>5.7700000000000001E-2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4.5899999999999996E-2</v>
      </c>
      <c r="G472">
        <v>5.3700000000000005E-2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1.5300000000000001E-2</v>
      </c>
      <c r="F473">
        <v>2.35E-2</v>
      </c>
      <c r="G473">
        <v>2.4199999999999999E-2</v>
      </c>
      <c r="J473">
        <v>1.4000000000000002E-3</v>
      </c>
      <c r="K473">
        <v>-2.46E-2</v>
      </c>
      <c r="M473">
        <f t="shared" si="15"/>
        <v>-2.6000000000000002E-2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2.5099999999999997E-2</v>
      </c>
      <c r="J474">
        <v>1.3000000000000002E-3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-1.3200000000000002E-2</v>
      </c>
      <c r="E476">
        <v>3.3100000000000004E-2</v>
      </c>
      <c r="F476">
        <v>1.34E-2</v>
      </c>
      <c r="G476">
        <v>-1.4199999999999999E-2</v>
      </c>
      <c r="J476">
        <v>1.4000000000000002E-3</v>
      </c>
      <c r="K476">
        <v>1.3999999999999999E-2</v>
      </c>
      <c r="M476">
        <f t="shared" si="15"/>
        <v>1.2599999999999998E-2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3.1000000000000003E-2</v>
      </c>
      <c r="E477">
        <v>1.44E-2</v>
      </c>
      <c r="F477">
        <v>3.2599999999999997E-2</v>
      </c>
      <c r="G477">
        <v>-2.2200000000000001E-2</v>
      </c>
      <c r="J477">
        <v>1.4000000000000002E-3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7.8000000000000005E-3</v>
      </c>
      <c r="J478">
        <v>1.4000000000000002E-3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2.9500000000000002E-2</v>
      </c>
      <c r="E479">
        <v>-1.2700000000000001E-2</v>
      </c>
      <c r="F479">
        <v>-9.1899999999999996E-2</v>
      </c>
      <c r="G479">
        <v>5.1500000000000004E-2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6.8000000000000005E-3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4.6200000000000005E-2</v>
      </c>
      <c r="M484">
        <f t="shared" si="15"/>
        <v>4.5200000000000004E-2</v>
      </c>
    </row>
    <row r="485" spans="1:13">
      <c r="A485">
        <v>200305</v>
      </c>
      <c r="B485">
        <f>'10-T-weights5'!B481</f>
        <v>6.1399999999999996E-2</v>
      </c>
      <c r="C485">
        <f t="shared" si="14"/>
        <v>6.0499999999999998E-2</v>
      </c>
      <c r="D485">
        <v>4.8499999999999995E-2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1.5199999999999998E-2</v>
      </c>
      <c r="C486">
        <f t="shared" si="14"/>
        <v>1.4199999999999997E-2</v>
      </c>
      <c r="D486">
        <v>1.66E-2</v>
      </c>
      <c r="E486">
        <v>1.9E-3</v>
      </c>
      <c r="F486">
        <v>4.4000000000000003E-3</v>
      </c>
      <c r="G486">
        <v>-3.4000000000000002E-3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-1.1899999999999999E-2</v>
      </c>
      <c r="F487">
        <v>-4.2300000000000004E-2</v>
      </c>
      <c r="G487">
        <v>1.8500000000000003E-2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5.5000000000000005E-3</v>
      </c>
      <c r="E489">
        <v>1E-3</v>
      </c>
      <c r="F489">
        <v>1.06E-2</v>
      </c>
      <c r="G489">
        <v>3.4000000000000002E-3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-1.3000000000000001E-2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-1.2700000000000001E-2</v>
      </c>
      <c r="M492">
        <f t="shared" si="15"/>
        <v>-1.3500000000000002E-2</v>
      </c>
    </row>
    <row r="493" spans="1:13">
      <c r="A493">
        <v>200401</v>
      </c>
      <c r="B493">
        <f>'10-T-weights5'!B489</f>
        <v>2.2199999999999998E-2</v>
      </c>
      <c r="C493">
        <f t="shared" si="14"/>
        <v>2.1499999999999998E-2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3.7000000000000005E-2</v>
      </c>
      <c r="M493">
        <f t="shared" si="15"/>
        <v>3.6300000000000006E-2</v>
      </c>
    </row>
    <row r="494" spans="1:13">
      <c r="A494">
        <v>200402</v>
      </c>
      <c r="B494">
        <f>'10-T-weights5'!B490</f>
        <v>1.4599999999999998E-2</v>
      </c>
      <c r="C494">
        <f t="shared" si="14"/>
        <v>1.3999999999999999E-2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-1.2300000000000002E-2</v>
      </c>
      <c r="C495">
        <f t="shared" si="14"/>
        <v>-1.3200000000000002E-2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1.1899999999999999E-2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-3.9599999999999996E-2</v>
      </c>
      <c r="C499">
        <f t="shared" si="14"/>
        <v>-4.0599999999999997E-2</v>
      </c>
      <c r="D499">
        <v>-2.9399999999999999E-2</v>
      </c>
      <c r="E499">
        <v>3.2199999999999999E-2</v>
      </c>
      <c r="F499">
        <v>5.3099999999999994E-2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1.9000000000000002E-3</v>
      </c>
      <c r="C500">
        <f t="shared" si="14"/>
        <v>8.0000000000000015E-4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-2.1400000000000002E-2</v>
      </c>
      <c r="M500">
        <f t="shared" si="15"/>
        <v>-2.2500000000000003E-2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4.6900000000000004E-2</v>
      </c>
      <c r="C503">
        <f t="shared" si="14"/>
        <v>4.5400000000000003E-2</v>
      </c>
      <c r="D503">
        <v>4.1100000000000005E-2</v>
      </c>
      <c r="E503">
        <v>1.4499999999999999E-2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2.7200000000000002E-2</v>
      </c>
      <c r="G505">
        <v>-1.46E-2</v>
      </c>
      <c r="J505">
        <v>1.6000000000000001E-3</v>
      </c>
      <c r="K505">
        <v>-4.1100000000000005E-2</v>
      </c>
      <c r="M505">
        <f t="shared" si="15"/>
        <v>-4.2700000000000002E-2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1.4199999999999999E-2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-1.7599999999999998E-2</v>
      </c>
      <c r="C507">
        <f t="shared" si="14"/>
        <v>-1.9699999999999999E-2</v>
      </c>
      <c r="D507">
        <v>-1.4199999999999999E-2</v>
      </c>
      <c r="E507">
        <v>2.0499999999999997E-2</v>
      </c>
      <c r="F507">
        <v>4.5000000000000005E-3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-2.3999999999999997E-2</v>
      </c>
      <c r="C508">
        <f t="shared" si="14"/>
        <v>-2.6099999999999998E-2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3.2799999999999996E-2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5.5700000000000006E-2</v>
      </c>
      <c r="M510">
        <f t="shared" si="15"/>
        <v>5.3400000000000003E-2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-7.8000000000000005E-3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-1.7499999999999998E-2</v>
      </c>
      <c r="C514">
        <f t="shared" si="14"/>
        <v>-2.0199999999999999E-2</v>
      </c>
      <c r="D514">
        <v>-1.43E-2</v>
      </c>
      <c r="E514">
        <v>4.0999999999999995E-3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-1.1399999999999999E-2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1.8000000000000002E-2</v>
      </c>
      <c r="M516">
        <f t="shared" si="15"/>
        <v>1.4800000000000002E-2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5.7699999999999994E-2</v>
      </c>
      <c r="E517">
        <v>1.0900000000000002E-2</v>
      </c>
      <c r="F517">
        <v>-6.6000000000000008E-3</v>
      </c>
      <c r="G517">
        <v>-4.3E-3</v>
      </c>
      <c r="J517">
        <v>3.4999999999999996E-3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-3.0000000000000001E-3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3.4000000000000002E-3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si="14"/>
        <v>1.46E-2</v>
      </c>
      <c r="D519">
        <v>3.4000000000000002E-2</v>
      </c>
      <c r="E519">
        <v>5.5000000000000005E-3</v>
      </c>
      <c r="F519">
        <v>1E-3</v>
      </c>
      <c r="G519">
        <v>-4.0000000000000001E-3</v>
      </c>
      <c r="J519">
        <v>3.7000000000000002E-3</v>
      </c>
      <c r="K519">
        <v>4.5899999999999996E-2</v>
      </c>
      <c r="M519">
        <f t="shared" si="15"/>
        <v>4.2199999999999994E-2</v>
      </c>
    </row>
    <row r="520" spans="1:13">
      <c r="A520">
        <v>200604</v>
      </c>
      <c r="B520">
        <f>'10-T-weights5'!B516</f>
        <v>1.09E-2</v>
      </c>
      <c r="C520">
        <f t="shared" ref="C520:C583" si="16">B520-J520</f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ref="M520:M583" si="17">K520-J520</f>
        <v>1.5900000000000001E-2</v>
      </c>
    </row>
    <row r="521" spans="1:13">
      <c r="A521">
        <v>200605</v>
      </c>
      <c r="B521">
        <f>'10-T-weights5'!B517</f>
        <v>-3.1400000000000004E-2</v>
      </c>
      <c r="C521">
        <f t="shared" si="16"/>
        <v>-3.5700000000000003E-2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1.3300000000000001E-2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-3.8000000000000004E-3</v>
      </c>
      <c r="C523">
        <f t="shared" si="16"/>
        <v>-7.8000000000000005E-3</v>
      </c>
      <c r="D523">
        <v>-3.6400000000000002E-2</v>
      </c>
      <c r="E523">
        <v>2.6200000000000001E-2</v>
      </c>
      <c r="F523">
        <v>1.6399999999999998E-2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2.4499999999999997E-2</v>
      </c>
      <c r="C524">
        <f t="shared" si="16"/>
        <v>2.0299999999999999E-2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4.0999999999999995E-3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-2.6000000000000003E-3</v>
      </c>
      <c r="F526">
        <v>-1.6000000000000001E-3</v>
      </c>
      <c r="G526">
        <v>2.8000000000000004E-3</v>
      </c>
      <c r="J526">
        <v>4.0999999999999995E-3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-7.0999999999999995E-3</v>
      </c>
      <c r="G528">
        <v>2.0499999999999997E-2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-1.5799999999999998E-2</v>
      </c>
      <c r="C530">
        <f t="shared" si="16"/>
        <v>-1.9599999999999999E-2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1.1000000000000001E-2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3.6500000000000005E-2</v>
      </c>
      <c r="C533">
        <f t="shared" si="16"/>
        <v>3.2400000000000005E-2</v>
      </c>
      <c r="D533">
        <v>3.8E-3</v>
      </c>
      <c r="E533">
        <v>-6.1999999999999998E-3</v>
      </c>
      <c r="F533">
        <v>1.5500000000000002E-2</v>
      </c>
      <c r="G533">
        <v>-1.3600000000000001E-2</v>
      </c>
      <c r="J533">
        <v>4.0999999999999995E-3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-1.0700000000000001E-2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-3.3299999999999996E-2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1.3399999999999999E-2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2.1200000000000004E-2</v>
      </c>
      <c r="C538">
        <f t="shared" si="16"/>
        <v>1.8000000000000002E-2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3.4000000000000002E-3</v>
      </c>
      <c r="K539">
        <v>-6.0300000000000006E-2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-6.1500000000000006E-2</v>
      </c>
      <c r="C541">
        <f t="shared" si="16"/>
        <v>-6.3600000000000004E-2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1.3000000000000002E-3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3.4999999999999996E-3</v>
      </c>
      <c r="F543">
        <v>8.0000000000000002E-3</v>
      </c>
      <c r="G543">
        <v>5.1000000000000004E-3</v>
      </c>
      <c r="J543">
        <v>1.7000000000000001E-3</v>
      </c>
      <c r="K543">
        <v>-1.8E-3</v>
      </c>
      <c r="M543">
        <f t="shared" si="17"/>
        <v>-3.5000000000000001E-3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-1.1899999999999999E-2</v>
      </c>
      <c r="E544">
        <v>-1.0900000000000002E-2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-1.5300000000000001E-2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-8.4400000000000003E-2</v>
      </c>
      <c r="D546">
        <v>1.1899999999999999E-2</v>
      </c>
      <c r="E546">
        <v>-2.7000000000000003E-2</v>
      </c>
      <c r="F546">
        <v>4.9400000000000006E-2</v>
      </c>
      <c r="G546">
        <v>-5.6000000000000008E-3</v>
      </c>
      <c r="J546">
        <v>1.7000000000000001E-3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3.7000000000000005E-2</v>
      </c>
      <c r="E547">
        <v>5.2699999999999997E-2</v>
      </c>
      <c r="F547">
        <v>-1.3500000000000002E-2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1.5299999999999999E-2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1.3000000000000002E-3</v>
      </c>
      <c r="K548">
        <v>-2.8900000000000002E-2</v>
      </c>
      <c r="M548">
        <f t="shared" si="17"/>
        <v>-3.0200000000000001E-2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5.9000000000000004E-2</v>
      </c>
      <c r="F549">
        <v>2.4100000000000003E-2</v>
      </c>
      <c r="G549">
        <v>1.8000000000000002E-2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-3.2799999999999996E-2</v>
      </c>
      <c r="E550">
        <v>-2.2200000000000001E-2</v>
      </c>
      <c r="F550">
        <v>2.9900000000000003E-2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3.3100000000000004E-2</v>
      </c>
      <c r="E552">
        <v>7.000000000000001E-4</v>
      </c>
      <c r="F552">
        <v>1.3000000000000002E-3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-2.0800000000000003E-2</v>
      </c>
      <c r="E553">
        <v>-0.11109999999999999</v>
      </c>
      <c r="F553">
        <v>1.1000000000000001E-3</v>
      </c>
      <c r="G553">
        <v>-1.1899999999999999E-2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-0.10089999999999999</v>
      </c>
      <c r="C554">
        <f t="shared" si="16"/>
        <v>-0.10099999999999999</v>
      </c>
      <c r="D554">
        <v>-1.3000000000000001E-2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-4.5599999999999995E-2</v>
      </c>
      <c r="M554">
        <f t="shared" si="17"/>
        <v>-4.5699999999999998E-2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4.8499999999999995E-2</v>
      </c>
      <c r="M555">
        <f t="shared" si="17"/>
        <v>4.8299999999999996E-2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-2.3100000000000002E-2</v>
      </c>
      <c r="E557">
        <v>3.7000000000000002E-3</v>
      </c>
      <c r="F557">
        <v>-7.4000000000000003E-3</v>
      </c>
      <c r="G557">
        <v>-2.2000000000000002E-2</v>
      </c>
      <c r="J557">
        <v>0</v>
      </c>
      <c r="K557">
        <v>1.8000000000000002E-2</v>
      </c>
      <c r="M557">
        <f t="shared" si="17"/>
        <v>1.8000000000000002E-2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2.3100000000000002E-2</v>
      </c>
      <c r="E558">
        <v>-2.7200000000000002E-2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5.6600000000000004E-2</v>
      </c>
      <c r="M559">
        <f t="shared" si="17"/>
        <v>5.6500000000000002E-2</v>
      </c>
    </row>
    <row r="560" spans="1:13">
      <c r="A560">
        <v>200908</v>
      </c>
      <c r="B560">
        <f>'10-T-weights5'!B556</f>
        <v>3.3400000000000006E-2</v>
      </c>
      <c r="C560">
        <f t="shared" si="16"/>
        <v>3.3300000000000003E-2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4.0900000000000006E-2</v>
      </c>
      <c r="C561">
        <f t="shared" si="16"/>
        <v>4.0800000000000003E-2</v>
      </c>
      <c r="D561">
        <v>2.7200000000000002E-2</v>
      </c>
      <c r="E561">
        <v>1.0400000000000001E-2</v>
      </c>
      <c r="F561">
        <v>1.2500000000000001E-2</v>
      </c>
      <c r="G561">
        <v>3.4999999999999996E-3</v>
      </c>
      <c r="J561">
        <v>1E-4</v>
      </c>
      <c r="K561">
        <v>5.0199999999999995E-2</v>
      </c>
      <c r="M561">
        <f t="shared" si="17"/>
        <v>5.0099999999999992E-2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-3.3000000000000004E-3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6.2400000000000004E-2</v>
      </c>
      <c r="E564">
        <v>-1.7000000000000001E-3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3.4999999999999996E-3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-2.8000000000000004E-3</v>
      </c>
      <c r="G566">
        <v>1.3999999999999999E-2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1.8500000000000003E-2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4.9800000000000004E-2</v>
      </c>
      <c r="E568">
        <v>2.8900000000000002E-2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1.2700000000000001E-2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-5.5600000000000004E-2</v>
      </c>
      <c r="C570">
        <f t="shared" si="16"/>
        <v>-5.5700000000000006E-2</v>
      </c>
      <c r="D570">
        <v>-2.4700000000000003E-2</v>
      </c>
      <c r="E570">
        <v>-4.7E-2</v>
      </c>
      <c r="F570">
        <v>-1.8E-3</v>
      </c>
      <c r="G570">
        <v>-1.5500000000000002E-2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2.6000000000000003E-3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-4.7599999999999996E-2</v>
      </c>
      <c r="C572">
        <f t="shared" si="16"/>
        <v>-4.7699999999999999E-2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3.8900000000000004E-2</v>
      </c>
      <c r="C574">
        <f t="shared" si="16"/>
        <v>3.8800000000000001E-2</v>
      </c>
      <c r="D574">
        <v>8.6E-3</v>
      </c>
      <c r="E574">
        <v>-2.4900000000000002E-2</v>
      </c>
      <c r="F574">
        <v>1.2700000000000001E-2</v>
      </c>
      <c r="G574">
        <v>-3.0999999999999999E-3</v>
      </c>
      <c r="J574">
        <v>1E-4</v>
      </c>
      <c r="K574">
        <v>5.5099999999999996E-2</v>
      </c>
      <c r="M574">
        <f t="shared" si="17"/>
        <v>5.4999999999999993E-2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4.3899999999999995E-2</v>
      </c>
      <c r="M576">
        <f t="shared" si="17"/>
        <v>4.3799999999999992E-2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-2.3700000000000002E-2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2.6400000000000003E-2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2.8999999999999998E-2</v>
      </c>
      <c r="C580">
        <f t="shared" si="16"/>
        <v>2.8999999999999998E-2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-1.2700000000000001E-2</v>
      </c>
      <c r="C581">
        <f t="shared" si="16"/>
        <v>-1.2700000000000001E-2</v>
      </c>
      <c r="D581">
        <v>-7.0999999999999995E-3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1.3000000000000002E-3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si="16"/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-1.5600000000000001E-2</v>
      </c>
      <c r="M583">
        <f t="shared" si="17"/>
        <v>-1.5600000000000001E-2</v>
      </c>
    </row>
    <row r="584" spans="1:13">
      <c r="A584">
        <v>201108</v>
      </c>
      <c r="B584">
        <f>'10-T-weights5'!B580</f>
        <v>-5.9799999999999999E-2</v>
      </c>
      <c r="C584">
        <f t="shared" ref="C584:C647" si="18">B584-J584</f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ref="M584:M647" si="19">K584-J584</f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-2.1400000000000002E-2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-2.8000000000000004E-3</v>
      </c>
      <c r="C587">
        <f t="shared" si="18"/>
        <v>-2.8000000000000004E-3</v>
      </c>
      <c r="D587">
        <v>-2.8000000000000004E-3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-3.3000000000000004E-3</v>
      </c>
      <c r="E588">
        <v>1.61E-2</v>
      </c>
      <c r="F588">
        <v>1.01E-2</v>
      </c>
      <c r="G588">
        <v>2.4900000000000002E-2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5.0499999999999996E-2</v>
      </c>
      <c r="C589">
        <f t="shared" si="18"/>
        <v>5.0499999999999996E-2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5.8300000000000005E-2</v>
      </c>
      <c r="M590">
        <f t="shared" si="19"/>
        <v>5.8300000000000005E-2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1.1200000000000002E-2</v>
      </c>
      <c r="F591">
        <v>-5.5000000000000005E-3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3.8900000000000004E-2</v>
      </c>
      <c r="C594">
        <f t="shared" si="18"/>
        <v>3.8900000000000004E-2</v>
      </c>
      <c r="D594">
        <v>8.1000000000000013E-3</v>
      </c>
      <c r="E594">
        <v>5.8999999999999999E-3</v>
      </c>
      <c r="F594">
        <v>-1.0700000000000001E-2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2.5599999999999998E-2</v>
      </c>
      <c r="C596">
        <f t="shared" si="18"/>
        <v>2.5499999999999998E-2</v>
      </c>
      <c r="D596">
        <v>4.5000000000000005E-3</v>
      </c>
      <c r="E596">
        <v>1.3000000000000001E-2</v>
      </c>
      <c r="F596">
        <v>-1.3300000000000001E-2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1.1899999999999999E-2</v>
      </c>
      <c r="C600">
        <f t="shared" si="18"/>
        <v>1.18E-2</v>
      </c>
      <c r="D600">
        <v>1.9199999999999998E-2</v>
      </c>
      <c r="E600">
        <v>3.5299999999999998E-2</v>
      </c>
      <c r="F600">
        <v>-1.8600000000000002E-2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5.5700000000000006E-2</v>
      </c>
      <c r="C601">
        <f t="shared" si="18"/>
        <v>5.5700000000000006E-2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5.9000000000000004E-2</v>
      </c>
      <c r="M601">
        <f t="shared" si="19"/>
        <v>5.9000000000000004E-2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1.8600000000000002E-2</v>
      </c>
      <c r="M602">
        <f t="shared" si="19"/>
        <v>1.8600000000000002E-2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1.3000000000000002E-3</v>
      </c>
      <c r="G603">
        <v>1.3700000000000002E-2</v>
      </c>
      <c r="J603">
        <v>0</v>
      </c>
      <c r="K603">
        <v>5.4400000000000004E-2</v>
      </c>
      <c r="M603">
        <f t="shared" si="19"/>
        <v>5.4400000000000004E-2</v>
      </c>
    </row>
    <row r="604" spans="1:13">
      <c r="A604">
        <v>201304</v>
      </c>
      <c r="B604">
        <f>'10-T-weights5'!B600</f>
        <v>1.5500000000000002E-2</v>
      </c>
      <c r="C604">
        <f t="shared" si="18"/>
        <v>1.5500000000000002E-2</v>
      </c>
      <c r="D604">
        <v>-2.2400000000000003E-2</v>
      </c>
      <c r="E604">
        <v>5.0000000000000001E-3</v>
      </c>
      <c r="F604">
        <v>2.7000000000000001E-3</v>
      </c>
      <c r="G604">
        <v>3.9000000000000003E-3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2.7999999999999997E-2</v>
      </c>
      <c r="C605">
        <f t="shared" si="18"/>
        <v>2.7999999999999997E-2</v>
      </c>
      <c r="D605">
        <v>2.0800000000000003E-2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1.5600000000000001E-2</v>
      </c>
      <c r="E606">
        <v>5.0000000000000001E-4</v>
      </c>
      <c r="F606">
        <v>-3.9000000000000003E-3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-1.3500000000000002E-2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3.7700000000000004E-2</v>
      </c>
      <c r="C609">
        <f t="shared" si="18"/>
        <v>3.7700000000000004E-2</v>
      </c>
      <c r="D609">
        <v>2.6499999999999999E-2</v>
      </c>
      <c r="E609">
        <v>-1.23E-2</v>
      </c>
      <c r="F609">
        <v>-5.6000000000000008E-3</v>
      </c>
      <c r="G609">
        <v>-1.3999999999999999E-2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1.3999999999999999E-2</v>
      </c>
      <c r="E611">
        <v>2.8000000000000004E-3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1.1000000000000001E-2</v>
      </c>
      <c r="M613">
        <f t="shared" si="19"/>
        <v>1.1000000000000001E-2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-4.1299999999999996E-2</v>
      </c>
      <c r="E616">
        <v>1.1399999999999999E-2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-1.3000000000000002E-3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2.6099999999999998E-2</v>
      </c>
      <c r="C618">
        <f t="shared" si="18"/>
        <v>2.6099999999999998E-2</v>
      </c>
      <c r="D618">
        <v>3.1000000000000003E-2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-6.8000000000000005E-3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-3.7200000000000004E-2</v>
      </c>
      <c r="E621">
        <v>-1.3600000000000001E-2</v>
      </c>
      <c r="F621">
        <v>1.3000000000000001E-2</v>
      </c>
      <c r="G621">
        <v>-5.0000000000000001E-3</v>
      </c>
      <c r="J621">
        <v>0</v>
      </c>
      <c r="K621">
        <v>-2.4700000000000003E-2</v>
      </c>
      <c r="M621">
        <f t="shared" si="19"/>
        <v>-2.4700000000000003E-2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3.7700000000000004E-2</v>
      </c>
      <c r="E622">
        <v>-1.8500000000000003E-2</v>
      </c>
      <c r="F622">
        <v>-5.0000000000000001E-3</v>
      </c>
      <c r="G622">
        <v>-1.4000000000000002E-3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-2.2400000000000003E-2</v>
      </c>
      <c r="E623">
        <v>-3.1200000000000002E-2</v>
      </c>
      <c r="F623">
        <v>1.5300000000000001E-2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1.6200000000000003E-2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-1.8500000000000003E-2</v>
      </c>
      <c r="F626">
        <v>-1.1200000000000002E-2</v>
      </c>
      <c r="G626">
        <v>-1.78E-2</v>
      </c>
      <c r="J626">
        <v>0</v>
      </c>
      <c r="K626">
        <v>6.1900000000000004E-2</v>
      </c>
      <c r="M626">
        <f t="shared" si="19"/>
        <v>6.1900000000000004E-2</v>
      </c>
    </row>
    <row r="627" spans="1:13">
      <c r="A627">
        <v>201503</v>
      </c>
      <c r="B627">
        <f>'10-T-weights5'!B623</f>
        <v>-1.1200000000000002E-2</v>
      </c>
      <c r="C627">
        <f t="shared" si="18"/>
        <v>-1.1200000000000002E-2</v>
      </c>
      <c r="D627">
        <v>3.1000000000000003E-2</v>
      </c>
      <c r="E627">
        <v>-4.0999999999999995E-3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1.3600000000000001E-2</v>
      </c>
      <c r="C629">
        <f t="shared" si="18"/>
        <v>1.3600000000000001E-2</v>
      </c>
      <c r="D629">
        <v>8.1000000000000013E-3</v>
      </c>
      <c r="E629">
        <v>-1.1000000000000001E-2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-1.5300000000000001E-2</v>
      </c>
      <c r="C630">
        <f t="shared" si="18"/>
        <v>-1.5300000000000001E-2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-4.5899999999999996E-2</v>
      </c>
      <c r="E631">
        <v>-4.0700000000000007E-2</v>
      </c>
      <c r="F631">
        <v>3.4000000000000002E-3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2.7999999999999997E-2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-3.0699999999999998E-2</v>
      </c>
      <c r="C633">
        <f t="shared" si="18"/>
        <v>-3.0699999999999998E-2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-3.2100000000000004E-2</v>
      </c>
      <c r="M633">
        <f t="shared" si="19"/>
        <v>-3.2100000000000004E-2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-2.9700000000000004E-2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2.8399999999999998E-2</v>
      </c>
      <c r="G637">
        <v>3.09E-2</v>
      </c>
      <c r="J637">
        <v>1E-4</v>
      </c>
      <c r="K637">
        <v>-6.2400000000000004E-2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1.1000000000000001E-2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3.2100000000000004E-2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-1.1000000000000001E-2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-3.0000000000000003E-4</v>
      </c>
      <c r="C642">
        <f t="shared" si="18"/>
        <v>-5.0000000000000001E-4</v>
      </c>
      <c r="D642">
        <v>4.4000000000000003E-3</v>
      </c>
      <c r="E642">
        <v>-1.4499999999999999E-2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-1.1899999999999999E-2</v>
      </c>
      <c r="J643">
        <v>2.0000000000000001E-4</v>
      </c>
      <c r="K643">
        <v>4.2300000000000004E-2</v>
      </c>
      <c r="M643">
        <f t="shared" si="19"/>
        <v>4.2100000000000005E-2</v>
      </c>
    </row>
    <row r="644" spans="1:13">
      <c r="A644">
        <v>201608</v>
      </c>
      <c r="B644">
        <f>'10-T-weights5'!B640</f>
        <v>5.0999999999999995E-3</v>
      </c>
      <c r="C644">
        <f t="shared" si="18"/>
        <v>4.8999999999999998E-3</v>
      </c>
      <c r="D644">
        <v>1.6899999999999998E-2</v>
      </c>
      <c r="E644">
        <v>3.1600000000000003E-2</v>
      </c>
      <c r="F644">
        <v>-1.89E-2</v>
      </c>
      <c r="G644">
        <v>-3.4000000000000002E-3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1.8600000000000002E-2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3.1200000000000002E-2</v>
      </c>
      <c r="M645">
        <f t="shared" si="19"/>
        <v>3.1000000000000003E-2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si="18"/>
        <v>4.8600000000000004E-2</v>
      </c>
      <c r="D647">
        <v>7.0400000000000004E-2</v>
      </c>
      <c r="E647">
        <v>8.199999999999999E-2</v>
      </c>
      <c r="F647">
        <v>-1.7000000000000001E-3</v>
      </c>
      <c r="G647">
        <v>3.7100000000000001E-2</v>
      </c>
      <c r="J647">
        <v>1E-4</v>
      </c>
      <c r="K647">
        <v>7.5400000000000009E-2</v>
      </c>
      <c r="M647">
        <f t="shared" si="19"/>
        <v>7.5300000000000006E-2</v>
      </c>
    </row>
    <row r="648" spans="1:13">
      <c r="A648">
        <v>201612</v>
      </c>
      <c r="B648">
        <f>'10-T-weights5'!B644</f>
        <v>1.8400000000000003E-2</v>
      </c>
      <c r="C648">
        <f t="shared" ref="C648:C708" si="20">B648-J648</f>
        <v>1.8100000000000002E-2</v>
      </c>
      <c r="D648">
        <v>4.0999999999999995E-3</v>
      </c>
      <c r="E648">
        <v>3.56E-2</v>
      </c>
      <c r="F648">
        <v>1.24E-2</v>
      </c>
      <c r="G648">
        <v>-2.6000000000000003E-3</v>
      </c>
      <c r="J648">
        <v>2.9999999999999997E-4</v>
      </c>
      <c r="K648">
        <v>-4.1999999999999997E-3</v>
      </c>
      <c r="M648">
        <f t="shared" ref="M648:M708" si="21">K648-J648</f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1.1400000000000002E-2</v>
      </c>
      <c r="C652">
        <f t="shared" si="20"/>
        <v>1.0900000000000002E-2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-1.6200000000000003E-2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2.9900000000000003E-2</v>
      </c>
      <c r="M655">
        <f t="shared" si="21"/>
        <v>2.9200000000000004E-2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1.4000000000000002E-3</v>
      </c>
      <c r="M656">
        <f t="shared" si="21"/>
        <v>5.0000000000000023E-4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4.7400000000000005E-2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4.2300000000000004E-2</v>
      </c>
      <c r="M657">
        <f t="shared" si="21"/>
        <v>4.1400000000000006E-2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5.6600000000000004E-2</v>
      </c>
      <c r="M658">
        <f t="shared" si="21"/>
        <v>5.5700000000000006E-2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-3.4999999999999996E-3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-1.0700000000000001E-2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-1.3600000000000001E-2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3.3000000000000004E-3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-2.4100000000000003E-2</v>
      </c>
      <c r="G664">
        <v>1.2800000000000001E-2</v>
      </c>
      <c r="J664">
        <v>1.4000000000000002E-3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1.4000000000000002E-3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1.4000000000000002E-3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3.3499999999999995E-2</v>
      </c>
      <c r="C667">
        <f t="shared" si="20"/>
        <v>3.1899999999999998E-2</v>
      </c>
      <c r="D667">
        <v>-1.9400000000000001E-2</v>
      </c>
      <c r="E667">
        <v>4.5000000000000005E-3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-2.6600000000000002E-2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-2.4900000000000002E-2</v>
      </c>
      <c r="E669">
        <v>-1.7000000000000001E-2</v>
      </c>
      <c r="F669">
        <v>6.7000000000000002E-3</v>
      </c>
      <c r="G669">
        <v>1.3000000000000001E-2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3.4300000000000004E-2</v>
      </c>
      <c r="F670">
        <v>9.7999999999999997E-3</v>
      </c>
      <c r="G670">
        <v>3.6000000000000004E-2</v>
      </c>
      <c r="J670">
        <v>1.9E-3</v>
      </c>
      <c r="K670">
        <v>-0.15789999999999998</v>
      </c>
      <c r="M670">
        <f t="shared" si="21"/>
        <v>-0.1598</v>
      </c>
    </row>
    <row r="671" spans="1:13">
      <c r="A671">
        <v>201811</v>
      </c>
      <c r="B671">
        <f>'10-T-weights5'!B667</f>
        <v>1.8699999999999998E-2</v>
      </c>
      <c r="C671">
        <f t="shared" si="20"/>
        <v>1.6899999999999998E-2</v>
      </c>
      <c r="D671">
        <v>-7.7000000000000002E-3</v>
      </c>
      <c r="E671">
        <v>2.6000000000000003E-3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-2.8999999999999998E-2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3.5800000000000005E-2</v>
      </c>
      <c r="C674">
        <f t="shared" si="20"/>
        <v>3.4000000000000002E-2</v>
      </c>
      <c r="D674">
        <v>1.72E-2</v>
      </c>
      <c r="E674">
        <v>-2.6800000000000001E-2</v>
      </c>
      <c r="F674">
        <v>2.0999999999999999E-3</v>
      </c>
      <c r="G674">
        <v>-1.6200000000000003E-2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1.2900000000000002E-2</v>
      </c>
      <c r="C675">
        <f t="shared" si="20"/>
        <v>1.1000000000000001E-2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4.1800000000000004E-2</v>
      </c>
      <c r="C676">
        <f t="shared" si="20"/>
        <v>3.9700000000000006E-2</v>
      </c>
      <c r="D676">
        <v>-1.1399999999999999E-2</v>
      </c>
      <c r="E676">
        <v>2.1700000000000001E-2</v>
      </c>
      <c r="F676">
        <v>1.6399999999999998E-2</v>
      </c>
      <c r="G676">
        <v>-2.2000000000000002E-2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-2.3700000000000002E-2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-7.0999999999999995E-3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5.5000000000000005E-3</v>
      </c>
      <c r="G680">
        <v>-7.0999999999999995E-3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-3.0299999999999997E-2</v>
      </c>
      <c r="M681">
        <f t="shared" si="21"/>
        <v>-3.2099999999999997E-2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-5.5000000000000005E-3</v>
      </c>
      <c r="M682">
        <f t="shared" si="21"/>
        <v>-7.1000000000000004E-3</v>
      </c>
    </row>
    <row r="683" spans="1:13">
      <c r="A683">
        <v>201911</v>
      </c>
      <c r="B683">
        <f>'10-T-weights5'!B679</f>
        <v>3.9900000000000005E-2</v>
      </c>
      <c r="C683">
        <f t="shared" si="20"/>
        <v>3.8700000000000005E-2</v>
      </c>
      <c r="D683">
        <v>4.8999999999999998E-3</v>
      </c>
      <c r="E683">
        <v>-2.0899999999999998E-2</v>
      </c>
      <c r="F683">
        <v>-1.6399999999999998E-2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1.8000000000000002E-2</v>
      </c>
      <c r="F684">
        <v>-1E-4</v>
      </c>
      <c r="G684">
        <v>1.24E-2</v>
      </c>
      <c r="J684">
        <v>1.4000000000000002E-3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-1.1000000000000001E-3</v>
      </c>
      <c r="D685">
        <v>-4.4000000000000004E-2</v>
      </c>
      <c r="E685">
        <v>-6.1699999999999998E-2</v>
      </c>
      <c r="F685">
        <v>-1.1599999999999999E-2</v>
      </c>
      <c r="G685">
        <v>-2.3400000000000001E-2</v>
      </c>
      <c r="J685">
        <v>1.3000000000000002E-3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-1.4499999999999999E-2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1.3000000000000002E-3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2.6600000000000002E-2</v>
      </c>
      <c r="E688">
        <v>-1.3000000000000001E-2</v>
      </c>
      <c r="F688">
        <v>2.6400000000000003E-2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5.5900000000000005E-2</v>
      </c>
      <c r="C689">
        <f t="shared" si="20"/>
        <v>5.5800000000000002E-2</v>
      </c>
      <c r="D689">
        <v>2.0199999999999999E-2</v>
      </c>
      <c r="E689">
        <v>-4.9200000000000001E-2</v>
      </c>
      <c r="F689">
        <v>9.1999999999999998E-3</v>
      </c>
      <c r="G689">
        <v>-3.2100000000000004E-2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-1.5300000000000001E-2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-2.9500000000000002E-2</v>
      </c>
      <c r="F692">
        <v>4.3600000000000007E-2</v>
      </c>
      <c r="G692">
        <v>-1.3500000000000002E-2</v>
      </c>
      <c r="J692">
        <v>1E-4</v>
      </c>
      <c r="K692">
        <v>0.11460000000000001</v>
      </c>
      <c r="M692">
        <f t="shared" si="21"/>
        <v>0.1145</v>
      </c>
    </row>
    <row r="693" spans="1:13">
      <c r="A693">
        <v>202009</v>
      </c>
      <c r="B693">
        <f>'10-T-weights5'!B689</f>
        <v>-3.6199999999999996E-2</v>
      </c>
      <c r="C693">
        <f t="shared" si="20"/>
        <v>-3.6299999999999999E-2</v>
      </c>
      <c r="D693">
        <v>1E-4</v>
      </c>
      <c r="E693">
        <v>-2.58E-2</v>
      </c>
      <c r="F693">
        <v>-1.38E-2</v>
      </c>
      <c r="G693">
        <v>-1.8000000000000002E-2</v>
      </c>
      <c r="J693">
        <v>1E-4</v>
      </c>
      <c r="K693">
        <v>-6.0599999999999994E-2</v>
      </c>
      <c r="M693">
        <f t="shared" si="21"/>
        <v>-6.0699999999999997E-2</v>
      </c>
    </row>
    <row r="694" spans="1:13">
      <c r="A694">
        <v>202010</v>
      </c>
      <c r="B694">
        <f>'10-T-weights5'!B690</f>
        <v>-2.0900000000000002E-2</v>
      </c>
      <c r="C694">
        <f t="shared" si="20"/>
        <v>-2.1000000000000001E-2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0.12480000000000001</v>
      </c>
      <c r="C695">
        <f t="shared" si="20"/>
        <v>0.12470000000000001</v>
      </c>
      <c r="D695">
        <v>6.9900000000000004E-2</v>
      </c>
      <c r="E695">
        <v>2.1000000000000001E-2</v>
      </c>
      <c r="F695">
        <v>-2.1100000000000001E-2</v>
      </c>
      <c r="G695">
        <v>1.3600000000000001E-2</v>
      </c>
      <c r="J695">
        <v>1E-4</v>
      </c>
      <c r="K695">
        <v>0.10400000000000001</v>
      </c>
      <c r="M695">
        <f t="shared" si="21"/>
        <v>0.10390000000000001</v>
      </c>
    </row>
    <row r="696" spans="1:13">
      <c r="A696">
        <v>202012</v>
      </c>
      <c r="B696">
        <f>'10-T-weights5'!B692</f>
        <v>4.6400000000000004E-2</v>
      </c>
      <c r="C696">
        <f t="shared" si="20"/>
        <v>4.6300000000000001E-2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4.5000000000000005E-3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-3.1000000000000003E-2</v>
      </c>
      <c r="E700">
        <v>-9.4999999999999998E-3</v>
      </c>
      <c r="F700">
        <v>2.3E-2</v>
      </c>
      <c r="G700">
        <v>-2.81E-2</v>
      </c>
      <c r="J700">
        <v>0</v>
      </c>
      <c r="K700">
        <v>4.4500000000000005E-2</v>
      </c>
      <c r="M700">
        <f t="shared" si="21"/>
        <v>4.4500000000000005E-2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1.1899999999999999E-2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-2.8000000000000004E-3</v>
      </c>
      <c r="E702">
        <v>-7.8200000000000006E-2</v>
      </c>
      <c r="F702">
        <v>-2.1400000000000002E-2</v>
      </c>
      <c r="G702">
        <v>-1.0400000000000001E-2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1.2700000000000001E-2</v>
      </c>
      <c r="C703">
        <f t="shared" si="20"/>
        <v>1.2700000000000001E-2</v>
      </c>
      <c r="D703">
        <v>-4.5499999999999999E-2</v>
      </c>
      <c r="E703">
        <v>-1.7399999999999999E-2</v>
      </c>
      <c r="F703">
        <v>5.3700000000000005E-2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-7.8000000000000005E-3</v>
      </c>
      <c r="E704">
        <v>-1.5E-3</v>
      </c>
      <c r="F704">
        <v>-2.6000000000000003E-3</v>
      </c>
      <c r="G704">
        <v>-1.66E-2</v>
      </c>
      <c r="J704">
        <v>0</v>
      </c>
      <c r="K704">
        <v>2.9500000000000002E-2</v>
      </c>
      <c r="M704">
        <f t="shared" si="21"/>
        <v>2.9500000000000002E-2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-1.5500000000000002E-2</v>
      </c>
      <c r="C707">
        <f t="shared" si="20"/>
        <v>-1.5500000000000002E-2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-2.5099999999999997E-2</v>
      </c>
      <c r="M707">
        <f t="shared" si="21"/>
        <v>-2.5099999999999997E-2</v>
      </c>
    </row>
    <row r="708" spans="1:13">
      <c r="A708">
        <v>202112</v>
      </c>
      <c r="B708">
        <f>'10-T-weights5'!B704</f>
        <v>3.1100000000000003E-2</v>
      </c>
      <c r="C708">
        <f t="shared" si="20"/>
        <v>3.1000000000000003E-2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E74D5-1A3C-47EC-89FF-DE62C773D981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8" t="s">
        <v>113</v>
      </c>
      <c r="J1" s="198"/>
    </row>
    <row r="2" spans="1:17">
      <c r="I2" s="1" t="s">
        <v>109</v>
      </c>
      <c r="J2" s="1" t="s">
        <v>112</v>
      </c>
      <c r="K2" s="1" t="s">
        <v>110</v>
      </c>
      <c r="L2" s="1" t="s">
        <v>979</v>
      </c>
    </row>
    <row r="3" spans="1:17">
      <c r="H3" s="1" t="s">
        <v>105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-6.296160709421416E-3</v>
      </c>
      <c r="L3">
        <f>INTERCEPT(E10:E68,$F$10:$F$68)</f>
        <v>-5.0028738895730972E-3</v>
      </c>
    </row>
    <row r="4" spans="1:17">
      <c r="H4" s="1" t="s">
        <v>133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1.0760987553068453</v>
      </c>
    </row>
    <row r="5" spans="1:17">
      <c r="A5" s="1"/>
      <c r="B5" s="198" t="s">
        <v>262</v>
      </c>
      <c r="C5" s="198"/>
      <c r="D5" s="198"/>
      <c r="E5" s="198"/>
      <c r="F5" s="198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6</v>
      </c>
      <c r="D7" s="3" t="s">
        <v>6</v>
      </c>
      <c r="E7" s="3"/>
      <c r="F7" s="1"/>
    </row>
    <row r="8" spans="1:17">
      <c r="C8" s="3" t="s">
        <v>112</v>
      </c>
      <c r="D8" s="3" t="s">
        <v>110</v>
      </c>
      <c r="E8" s="3" t="s">
        <v>264</v>
      </c>
      <c r="F8" s="3"/>
      <c r="H8" s="198" t="s">
        <v>265</v>
      </c>
      <c r="I8" s="198"/>
      <c r="J8" s="198"/>
      <c r="K8" s="198"/>
      <c r="N8" s="1" t="s">
        <v>109</v>
      </c>
      <c r="O8" s="1" t="s">
        <v>127</v>
      </c>
      <c r="P8" s="1" t="s">
        <v>128</v>
      </c>
      <c r="Q8" s="1" t="s">
        <v>264</v>
      </c>
    </row>
    <row r="9" spans="1:17">
      <c r="A9" s="1" t="s">
        <v>108</v>
      </c>
      <c r="B9" s="1" t="s">
        <v>977</v>
      </c>
      <c r="C9" s="3" t="s">
        <v>978</v>
      </c>
      <c r="D9" s="3" t="s">
        <v>978</v>
      </c>
      <c r="E9" s="3" t="s">
        <v>978</v>
      </c>
      <c r="F9" s="3" t="s">
        <v>107</v>
      </c>
      <c r="H9" s="1" t="s">
        <v>109</v>
      </c>
      <c r="I9" s="3" t="s">
        <v>112</v>
      </c>
      <c r="J9" s="3" t="s">
        <v>110</v>
      </c>
      <c r="K9" s="3" t="s">
        <v>264</v>
      </c>
      <c r="M9" s="1" t="s">
        <v>115</v>
      </c>
      <c r="N9">
        <f>VARP(H10:H68)</f>
        <v>3.8782486408727116E-3</v>
      </c>
      <c r="O9">
        <f>VARP(I10:I68)</f>
        <v>3.9576063885173388E-3</v>
      </c>
      <c r="P9">
        <f>VARP(J10:J68)</f>
        <v>7.8710182583823407E-4</v>
      </c>
      <c r="Q9">
        <f>VARP(K10:K68)</f>
        <v>5.6715608896841529E-4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1.0142728745023935E-2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-8.9357170427541432E-3</v>
      </c>
      <c r="K10">
        <f t="shared" ref="K10:K41" si="3">E10-L$3-L$4*$F10</f>
        <v>9.0632208460101997E-3</v>
      </c>
      <c r="M10" s="1" t="s">
        <v>114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0.17574111227058947</v>
      </c>
      <c r="Q10">
        <f>Q9/VARP(E10:E68)</f>
        <v>0.18498549060730646</v>
      </c>
    </row>
    <row r="11" spans="1:17">
      <c r="A11" s="50">
        <v>42794</v>
      </c>
      <c r="B11">
        <v>2.5181568550483899E-2</v>
      </c>
      <c r="C11">
        <v>-2.8118169353343547E-2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-6.6631396453266878E-2</v>
      </c>
      <c r="J11">
        <f t="shared" si="2"/>
        <v>-3.1417447707488333E-2</v>
      </c>
      <c r="K11">
        <f t="shared" si="3"/>
        <v>-1.729328312439727E-2</v>
      </c>
      <c r="M11" s="1" t="s">
        <v>263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2.8956768450415916E-3</v>
      </c>
      <c r="E12">
        <v>5.3781025739366006E-3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6.9682895624403728E-3</v>
      </c>
      <c r="K12">
        <f t="shared" si="3"/>
        <v>8.5516085794880604E-3</v>
      </c>
    </row>
    <row r="13" spans="1:17">
      <c r="A13" s="50">
        <v>42853</v>
      </c>
      <c r="B13">
        <v>4.2370872335150696E-2</v>
      </c>
      <c r="C13">
        <v>0.11849288591065189</v>
      </c>
      <c r="D13">
        <v>1.9393531154489742E-2</v>
      </c>
      <c r="E13">
        <v>2.708872335150696E-3</v>
      </c>
      <c r="F13">
        <v>1.09E-2</v>
      </c>
      <c r="H13">
        <f t="shared" si="0"/>
        <v>1.717386002200965E-2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-4.0177302081208198E-3</v>
      </c>
    </row>
    <row r="14" spans="1:17">
      <c r="A14" s="50">
        <v>42886</v>
      </c>
      <c r="B14">
        <v>7.4276495549070204E-2</v>
      </c>
      <c r="C14">
        <v>-3.9139364258809525E-2</v>
      </c>
      <c r="D14">
        <v>-2.4649902231626813E-2</v>
      </c>
      <c r="E14">
        <v>-1.2301504450929791E-2</v>
      </c>
      <c r="F14">
        <v>1.06E-2</v>
      </c>
      <c r="H14">
        <f t="shared" si="0"/>
        <v>4.9400004387700681E-2</v>
      </c>
      <c r="I14">
        <f t="shared" si="1"/>
        <v>-4.5020857770637607E-2</v>
      </c>
      <c r="J14">
        <f t="shared" si="2"/>
        <v>-3.2218217237170069E-2</v>
      </c>
      <c r="K14">
        <f t="shared" si="3"/>
        <v>-1.8705277367609255E-2</v>
      </c>
      <c r="M14" s="1" t="s">
        <v>983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0.10799578576738184</v>
      </c>
      <c r="D15">
        <v>1.7728743362205347E-2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0.10575448564386719</v>
      </c>
      <c r="J15">
        <f t="shared" si="2"/>
        <v>1.3822742696464082E-2</v>
      </c>
      <c r="K15">
        <f t="shared" si="3"/>
        <v>1.8569318108373603E-2</v>
      </c>
      <c r="M15" s="1" t="s">
        <v>984</v>
      </c>
      <c r="N15">
        <f>MIN(K10:K68)</f>
        <v>-5.9516557532587389E-2</v>
      </c>
    </row>
    <row r="16" spans="1:17">
      <c r="A16" s="50">
        <v>42947</v>
      </c>
      <c r="B16">
        <v>1.9433914562887299E-2</v>
      </c>
      <c r="C16">
        <v>-3.0104413760995322E-2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-4.651646671758726E-2</v>
      </c>
      <c r="J16">
        <f t="shared" si="2"/>
        <v>-2.6482167382966108E-2</v>
      </c>
      <c r="K16">
        <f t="shared" si="3"/>
        <v>-7.0382582717776129E-3</v>
      </c>
    </row>
    <row r="17" spans="1:11">
      <c r="A17" s="50">
        <v>42978</v>
      </c>
      <c r="B17">
        <v>-8.2688792018283906E-3</v>
      </c>
      <c r="C17">
        <v>3.5162487654523414E-2</v>
      </c>
      <c r="D17">
        <v>-3.3603271172691646E-3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4.0981615747988503E-2</v>
      </c>
      <c r="J17">
        <f t="shared" si="2"/>
        <v>8.4308254083682909E-4</v>
      </c>
      <c r="K17">
        <f t="shared" si="3"/>
        <v>-6.4447633207462465E-3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4.5845161248961395E-2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2.383795638033278E-2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1.2396041151790183E-3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-2.3453633307682322E-2</v>
      </c>
      <c r="K19">
        <f t="shared" si="3"/>
        <v>-1.7969743989651902E-2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2.9795871128239445E-2</v>
      </c>
      <c r="E20">
        <v>1.9843319782065202E-2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-8.7280874939352736E-3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-6.8606069651432336E-3</v>
      </c>
      <c r="E21">
        <v>1.3185444404610159E-2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-1.442892197068649E-2</v>
      </c>
      <c r="K21">
        <f t="shared" si="3"/>
        <v>6.7816714879306954E-3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-2.6602471146290857E-2</v>
      </c>
    </row>
    <row r="23" spans="1:11">
      <c r="A23" s="50">
        <v>43159</v>
      </c>
      <c r="B23">
        <v>4.1429085528136296E-2</v>
      </c>
      <c r="C23">
        <v>-8.5015318478288304E-2</v>
      </c>
      <c r="D23">
        <v>-5.6048127347141173E-2</v>
      </c>
      <c r="E23">
        <v>-4.1025914471863704E-2</v>
      </c>
      <c r="F23">
        <v>-3.6499999999999998E-2</v>
      </c>
      <c r="H23">
        <f t="shared" si="0"/>
        <v>6.6874415194895648E-2</v>
      </c>
      <c r="I23">
        <f t="shared" si="1"/>
        <v>-2.966355892241547E-2</v>
      </c>
      <c r="J23">
        <f t="shared" si="2"/>
        <v>-2.0110832795866979E-3</v>
      </c>
      <c r="K23">
        <f t="shared" si="3"/>
        <v>3.254563986409241E-3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2.4165129188969542E-4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3.0532845931173658E-2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-2.5670351977155744E-4</v>
      </c>
      <c r="K25">
        <f t="shared" si="3"/>
        <v>9.0509189843827522E-3</v>
      </c>
    </row>
    <row r="26" spans="1:11">
      <c r="A26" s="50">
        <v>43251</v>
      </c>
      <c r="B26">
        <v>3.9539412460286597E-2</v>
      </c>
      <c r="C26">
        <v>2.4424660014157943E-2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-2.3246997449735685E-3</v>
      </c>
      <c r="I26">
        <f t="shared" si="1"/>
        <v>-2.127931667021403E-3</v>
      </c>
      <c r="J26">
        <f t="shared" si="2"/>
        <v>1.4447068773880821E-2</v>
      </c>
      <c r="K26">
        <f t="shared" si="3"/>
        <v>1.007966933422829E-2</v>
      </c>
    </row>
    <row r="27" spans="1:11">
      <c r="A27" s="50">
        <v>43280</v>
      </c>
      <c r="B27">
        <v>4.2065287564718896E-2</v>
      </c>
      <c r="C27">
        <v>3.3867852037264543E-2</v>
      </c>
      <c r="D27">
        <v>2.5157502038554861E-3</v>
      </c>
      <c r="E27">
        <v>1.7902875647188973E-3</v>
      </c>
      <c r="F27">
        <v>4.7999999999999996E-3</v>
      </c>
      <c r="H27">
        <f t="shared" si="0"/>
        <v>2.3385538670932123E-2</v>
      </c>
      <c r="I27">
        <f t="shared" si="1"/>
        <v>3.5526759115514284E-2</v>
      </c>
      <c r="J27">
        <f t="shared" si="2"/>
        <v>2.5336577593306356E-3</v>
      </c>
      <c r="K27">
        <f t="shared" si="3"/>
        <v>1.6278874288191379E-3</v>
      </c>
    </row>
    <row r="28" spans="1:11">
      <c r="A28" s="50">
        <v>43312</v>
      </c>
      <c r="B28">
        <v>4.4675897369017802E-2</v>
      </c>
      <c r="C28">
        <v>-2.1062996074557305E-2</v>
      </c>
      <c r="D28">
        <v>-6.0540239670116344E-3</v>
      </c>
      <c r="E28">
        <v>5.8368973690178004E-3</v>
      </c>
      <c r="F28">
        <v>3.1899999999999998E-2</v>
      </c>
      <c r="H28">
        <f t="shared" si="0"/>
        <v>-2.9575955681297519E-3</v>
      </c>
      <c r="I28">
        <f t="shared" si="1"/>
        <v>-5.4635960718912545E-2</v>
      </c>
      <c r="J28">
        <f t="shared" si="2"/>
        <v>-4.1482087343191441E-2</v>
      </c>
      <c r="K28">
        <f t="shared" si="3"/>
        <v>-2.3487779035697466E-2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3.1539710082495065E-2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-7.1582768113650913E-3</v>
      </c>
      <c r="K29">
        <f t="shared" si="3"/>
        <v>-1.381438368152739E-2</v>
      </c>
    </row>
    <row r="30" spans="1:11">
      <c r="A30" s="50">
        <v>43371</v>
      </c>
      <c r="B30">
        <v>-5.8243219966860899E-3</v>
      </c>
      <c r="C30">
        <v>1.4934776811098508E-2</v>
      </c>
      <c r="D30">
        <v>-3.2230462945655597E-3</v>
      </c>
      <c r="E30">
        <v>-1.1332321996686089E-2</v>
      </c>
      <c r="F30">
        <v>5.9999999999999995E-4</v>
      </c>
      <c r="H30">
        <f t="shared" si="0"/>
        <v>-2.0016774765671558E-2</v>
      </c>
      <c r="I30">
        <f t="shared" si="1"/>
        <v>2.2053973971818391E-2</v>
      </c>
      <c r="J30">
        <f t="shared" si="2"/>
        <v>2.288332770612573E-3</v>
      </c>
      <c r="K30">
        <f t="shared" si="3"/>
        <v>-6.9751073602970989E-3</v>
      </c>
    </row>
    <row r="31" spans="1:11">
      <c r="A31" s="50">
        <v>43404</v>
      </c>
      <c r="B31">
        <v>-0.203191707555853</v>
      </c>
      <c r="C31">
        <v>-0.14736710616336626</v>
      </c>
      <c r="D31">
        <v>-0.11617984401338648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-3.9622563197125149E-2</v>
      </c>
      <c r="J31">
        <f t="shared" si="2"/>
        <v>-9.4316328408248079E-3</v>
      </c>
      <c r="K31">
        <f t="shared" si="3"/>
        <v>4.2725507412858105E-3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1.8675040205280918E-2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2.8665179351831903E-3</v>
      </c>
      <c r="K32">
        <f t="shared" si="3"/>
        <v>-1.3527444825435386E-2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-0.14652542972523952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-1.5318190640428858E-2</v>
      </c>
      <c r="K33">
        <f t="shared" si="3"/>
        <v>7.4495186987668244E-3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0.14976319665725654</v>
      </c>
      <c r="E34">
        <v>0.11926013948591901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4.6059130231911077E-2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5.9875127585320501E-3</v>
      </c>
    </row>
    <row r="36" spans="1:11">
      <c r="A36" s="50">
        <v>43553</v>
      </c>
      <c r="B36">
        <v>8.4935766342722402E-2</v>
      </c>
      <c r="C36">
        <v>-2.4985249735414983E-2</v>
      </c>
      <c r="D36">
        <v>-1.4221028889782484E-2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-3.1386770874144987E-2</v>
      </c>
      <c r="J36">
        <f t="shared" si="2"/>
        <v>-2.2312531658154593E-2</v>
      </c>
      <c r="K36">
        <f t="shared" si="3"/>
        <v>-1.1742446076079797E-2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1.9354778341288698E-2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-1.8255858479289171E-2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1.4112839451283471E-2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-2.8572669604496462E-2</v>
      </c>
      <c r="K39">
        <f t="shared" si="3"/>
        <v>-2.1569002665869988E-2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-1.3567623568299627E-2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-2.2836298803036531E-2</v>
      </c>
      <c r="K40">
        <f t="shared" si="3"/>
        <v>-1.4047804669724454E-2</v>
      </c>
    </row>
    <row r="41" spans="1:11">
      <c r="A41" s="50">
        <v>43707</v>
      </c>
      <c r="B41">
        <v>-4.9473836667546803E-2</v>
      </c>
      <c r="C41">
        <v>-0.10321210577421719</v>
      </c>
      <c r="D41">
        <v>-2.6614019160946974E-2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-6.1771085237970674E-2</v>
      </c>
      <c r="J41">
        <f t="shared" si="2"/>
        <v>1.3427752250935624E-2</v>
      </c>
      <c r="K41">
        <f t="shared" si="3"/>
        <v>-8.2346148910571008E-3</v>
      </c>
    </row>
    <row r="42" spans="1:11">
      <c r="A42" s="50">
        <v>43738</v>
      </c>
      <c r="B42">
        <v>-2.3732776739616501E-2</v>
      </c>
      <c r="C42">
        <v>0.10739071290360556</v>
      </c>
      <c r="D42">
        <v>2.4532002432865428E-2</v>
      </c>
      <c r="E42">
        <v>1.6681223260383498E-2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9.6698963842934735E-2</v>
      </c>
      <c r="J42">
        <f t="shared" ref="J42:J68" si="6">D42-K$3-K$4*$F42</f>
        <v>1.2124200621155257E-2</v>
      </c>
      <c r="K42">
        <f t="shared" ref="K42:K68" si="7">E42-L$3-L$4*$F42</f>
        <v>6.2958849490687072E-3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-1.4778779636505621E-2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-3.5426788712770267E-2</v>
      </c>
      <c r="K43">
        <f t="shared" si="7"/>
        <v>-1.1874041620475015E-2</v>
      </c>
    </row>
    <row r="44" spans="1:11">
      <c r="A44" s="50">
        <v>43798</v>
      </c>
      <c r="B44">
        <v>1.2587300994015602E-2</v>
      </c>
      <c r="C44">
        <v>6.7739067245688706E-2</v>
      </c>
      <c r="D44">
        <v>2.8325709735793576E-2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-1.5996545608476784E-2</v>
      </c>
      <c r="K44">
        <f t="shared" si="7"/>
        <v>-1.1040846946786215E-2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2.7657436329178216E-2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-2.2771555372986113E-3</v>
      </c>
      <c r="K45">
        <f t="shared" si="7"/>
        <v>1.8573615242692788E-2</v>
      </c>
    </row>
    <row r="46" spans="1:11">
      <c r="A46" s="50">
        <v>43861</v>
      </c>
      <c r="B46">
        <v>8.6063819301793701E-2</v>
      </c>
      <c r="C46">
        <v>-4.5956575919059106E-2</v>
      </c>
      <c r="D46">
        <v>-3.8345925161472144E-2</v>
      </c>
      <c r="E46">
        <v>-1.4334180698206302E-2</v>
      </c>
      <c r="F46">
        <v>-1.1000000000000001E-3</v>
      </c>
      <c r="H46">
        <f t="shared" si="4"/>
        <v>7.3687653059513525E-2</v>
      </c>
      <c r="I46">
        <f t="shared" si="5"/>
        <v>-3.6627261344006068E-2</v>
      </c>
      <c r="J46">
        <f t="shared" si="6"/>
        <v>-3.0610998104271373E-2</v>
      </c>
      <c r="K46">
        <f t="shared" si="7"/>
        <v>-8.1475981777956747E-3</v>
      </c>
    </row>
    <row r="47" spans="1:11">
      <c r="A47" s="50">
        <v>43889</v>
      </c>
      <c r="B47">
        <v>-6.3213734380995298E-2</v>
      </c>
      <c r="C47">
        <v>-0.11050457793660462</v>
      </c>
      <c r="D47">
        <v>-0.10021555739128962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3.0902758322830931E-3</v>
      </c>
      <c r="J47">
        <f t="shared" si="6"/>
        <v>1.2418516113096675E-2</v>
      </c>
      <c r="K47">
        <f t="shared" si="7"/>
        <v>2.1675968315024316E-2</v>
      </c>
    </row>
    <row r="48" spans="1:11">
      <c r="A48" s="50">
        <v>43921</v>
      </c>
      <c r="B48">
        <v>3.4020555117783596E-2</v>
      </c>
      <c r="C48">
        <v>-0.10405736074224115</v>
      </c>
      <c r="D48">
        <v>-0.22270083920255737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7.7791119057523408E-2</v>
      </c>
      <c r="J48">
        <f t="shared" si="6"/>
        <v>-4.1398371826883801E-2</v>
      </c>
      <c r="K48">
        <f t="shared" si="7"/>
        <v>-5.9516557532587389E-2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0.18089978297662243</v>
      </c>
      <c r="E49">
        <v>0.15287216883183702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8.6581196206968747E-3</v>
      </c>
      <c r="K49">
        <f t="shared" si="7"/>
        <v>1.0987562622025715E-2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8.0266470894091307E-3</v>
      </c>
    </row>
    <row r="51" spans="1:11">
      <c r="A51" s="50">
        <v>44012</v>
      </c>
      <c r="B51">
        <v>0.12856674704826501</v>
      </c>
      <c r="C51">
        <v>0.17991991427354515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0.15583745382014991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0.14459108903631568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7.7476342456786806E-2</v>
      </c>
      <c r="J52">
        <f t="shared" si="6"/>
        <v>-1.7180659272312687E-3</v>
      </c>
      <c r="K52">
        <f t="shared" si="7"/>
        <v>-1.735145645296976E-2</v>
      </c>
    </row>
    <row r="53" spans="1:11">
      <c r="A53" s="50">
        <v>44074</v>
      </c>
      <c r="B53">
        <v>8.9460974089238296E-2</v>
      </c>
      <c r="C53">
        <v>0.11269270645081997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2.1396675220351893E-2</v>
      </c>
      <c r="J53">
        <f t="shared" si="6"/>
        <v>-1.8575995895577693E-2</v>
      </c>
      <c r="K53">
        <f t="shared" si="7"/>
        <v>-3.9219487051100788E-2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4.5153988665431265E-2</v>
      </c>
      <c r="K54">
        <f t="shared" si="7"/>
        <v>1.5709734502414679E-2</v>
      </c>
    </row>
    <row r="55" spans="1:11">
      <c r="A55" s="50">
        <v>44134</v>
      </c>
      <c r="B55">
        <v>-3.6754122717197898E-2</v>
      </c>
      <c r="C55">
        <v>2.3413377977907657E-2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2.7184825033818954E-2</v>
      </c>
    </row>
    <row r="56" spans="1:11">
      <c r="A56" s="50">
        <v>44165</v>
      </c>
      <c r="B56">
        <v>4.2439929173766301E-2</v>
      </c>
      <c r="C56">
        <v>0.14499770866334438</v>
      </c>
      <c r="D56">
        <v>0.19865507017970993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-9.2216654222559979E-3</v>
      </c>
      <c r="J56">
        <f t="shared" si="6"/>
        <v>4.1847445827235624E-2</v>
      </c>
      <c r="K56">
        <f t="shared" si="7"/>
        <v>4.4225288276575792E-2</v>
      </c>
    </row>
    <row r="57" spans="1:11">
      <c r="A57" s="50">
        <v>44196</v>
      </c>
      <c r="B57">
        <v>2.7058323595060899E-2</v>
      </c>
      <c r="C57">
        <v>1.4109616642817855E-3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2.7032825113927066E-2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2.7989966467545344E-2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0.12481067864084616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9.6567997172235576E-2</v>
      </c>
      <c r="J59">
        <f t="shared" si="6"/>
        <v>5.5214583482302876E-2</v>
      </c>
      <c r="K59">
        <f t="shared" si="7"/>
        <v>4.1614895688015907E-2</v>
      </c>
    </row>
    <row r="60" spans="1:11">
      <c r="A60" s="50">
        <v>44286</v>
      </c>
      <c r="B60">
        <v>-6.2813690908125109E-4</v>
      </c>
      <c r="C60">
        <v>-3.0740182416779654E-2</v>
      </c>
      <c r="D60">
        <v>2.5347735656689806E-2</v>
      </c>
      <c r="E60">
        <v>1.1448863090918748E-2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-8.6415613717106543E-3</v>
      </c>
      <c r="K60">
        <f t="shared" si="7"/>
        <v>-1.6692104682958991E-2</v>
      </c>
    </row>
    <row r="61" spans="1:11">
      <c r="A61" s="50">
        <v>44316</v>
      </c>
      <c r="B61">
        <v>0.11966263132279401</v>
      </c>
      <c r="C61">
        <v>-3.1701310240796636E-2</v>
      </c>
      <c r="D61">
        <v>3.9016191353567556E-2</v>
      </c>
      <c r="E61">
        <v>1.5612631322793998E-2</v>
      </c>
      <c r="F61">
        <v>4.9299999999999997E-2</v>
      </c>
      <c r="H61">
        <f t="shared" si="4"/>
        <v>5.3438911582898214E-2</v>
      </c>
      <c r="I61">
        <f t="shared" si="5"/>
        <v>-8.789547665538533E-2</v>
      </c>
      <c r="J61">
        <f t="shared" si="6"/>
        <v>-1.9170539705667469E-2</v>
      </c>
      <c r="K61">
        <f t="shared" si="7"/>
        <v>-3.2436163424260374E-2</v>
      </c>
    </row>
    <row r="62" spans="1:11">
      <c r="A62" s="50">
        <v>44344</v>
      </c>
      <c r="B62">
        <v>-7.1470222534654307E-2</v>
      </c>
      <c r="C62">
        <v>-5.4502402135304044E-2</v>
      </c>
      <c r="D62">
        <v>1.6207708081548821E-2</v>
      </c>
      <c r="E62">
        <v>1.2177777465345698E-2</v>
      </c>
      <c r="F62">
        <v>2.8999999999999998E-3</v>
      </c>
      <c r="H62">
        <f t="shared" si="4"/>
        <v>-8.8120004133888097E-2</v>
      </c>
      <c r="I62">
        <f t="shared" si="5"/>
        <v>-5.0373363829270192E-2</v>
      </c>
      <c r="J62">
        <f t="shared" si="6"/>
        <v>1.8710757510461036E-2</v>
      </c>
      <c r="K62">
        <f t="shared" si="7"/>
        <v>1.4059964964528942E-2</v>
      </c>
    </row>
    <row r="63" spans="1:11">
      <c r="A63" s="50">
        <v>44377</v>
      </c>
      <c r="B63">
        <v>6.6354987370939797E-2</v>
      </c>
      <c r="C63">
        <v>-1.4900071648614746E-2</v>
      </c>
      <c r="D63">
        <v>-3.7467282369541815E-3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-4.2752732397048888E-2</v>
      </c>
      <c r="J63">
        <f t="shared" si="6"/>
        <v>-3.3419726222016582E-2</v>
      </c>
      <c r="K63">
        <f t="shared" si="7"/>
        <v>-4.1078545104253489E-3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-4.3307845283153339E-2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3.4163544550804156E-2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2.5285924551336769E-3</v>
      </c>
      <c r="K65">
        <f t="shared" si="7"/>
        <v>-8.3118579879705098E-3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2.8625276630773983E-2</v>
      </c>
      <c r="K66">
        <f t="shared" si="7"/>
        <v>2.2556314963177143E-2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-5.876889053543248E-2</v>
      </c>
      <c r="K67">
        <f t="shared" si="7"/>
        <v>-4.1000310554874617E-2</v>
      </c>
    </row>
    <row r="68" spans="1:11">
      <c r="A68" s="50">
        <v>44530</v>
      </c>
      <c r="B68">
        <v>3.8923775867227596E-2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-2.5857819535943207E-2</v>
      </c>
    </row>
    <row r="69" spans="1:11">
      <c r="A69" s="50"/>
    </row>
  </sheetData>
  <mergeCells count="3">
    <mergeCell ref="I1:J1"/>
    <mergeCell ref="H8:K8"/>
    <mergeCell ref="B5:F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8" t="s">
        <v>113</v>
      </c>
      <c r="L1" s="198"/>
      <c r="M1" s="198"/>
    </row>
    <row r="2" spans="1:24">
      <c r="K2" s="1" t="s">
        <v>105</v>
      </c>
      <c r="L2" s="1" t="s">
        <v>111</v>
      </c>
      <c r="M2" s="1" t="s">
        <v>176</v>
      </c>
      <c r="N2" s="1" t="s">
        <v>177</v>
      </c>
    </row>
    <row r="3" spans="1:24">
      <c r="J3" s="1" t="s">
        <v>109</v>
      </c>
      <c r="K3">
        <v>4.3019205434117773E-3</v>
      </c>
      <c r="L3">
        <v>1.2642625641862961</v>
      </c>
      <c r="M3">
        <v>-0.41658516041819266</v>
      </c>
      <c r="N3">
        <v>-0.82055881189184898</v>
      </c>
    </row>
    <row r="4" spans="1:24">
      <c r="J4" s="1" t="s">
        <v>112</v>
      </c>
      <c r="K4">
        <v>-5.6675398949237793E-3</v>
      </c>
      <c r="L4">
        <v>1.133252673495299</v>
      </c>
      <c r="M4">
        <v>0.98115228621681949</v>
      </c>
      <c r="N4">
        <v>-1.5967349835691688E-2</v>
      </c>
    </row>
    <row r="5" spans="1:24">
      <c r="J5" s="1" t="s">
        <v>110</v>
      </c>
      <c r="K5">
        <v>-2.3714037539938459E-3</v>
      </c>
      <c r="L5">
        <v>1.1456120424984471</v>
      </c>
      <c r="M5">
        <v>0.7604976484416166</v>
      </c>
      <c r="N5">
        <v>0.20636389131193436</v>
      </c>
    </row>
    <row r="6" spans="1:24">
      <c r="A6" s="1"/>
      <c r="B6" s="198" t="s">
        <v>262</v>
      </c>
      <c r="C6" s="198"/>
      <c r="D6" s="198"/>
      <c r="E6" s="198"/>
      <c r="F6" s="1"/>
      <c r="G6" s="1"/>
      <c r="H6" s="1"/>
      <c r="I6" s="1"/>
      <c r="J6" s="1" t="s">
        <v>264</v>
      </c>
      <c r="K6">
        <v>-1.272674296651861E-3</v>
      </c>
      <c r="L6">
        <v>0.92251447075527582</v>
      </c>
      <c r="M6">
        <v>0.71746027580472449</v>
      </c>
      <c r="N6">
        <v>0.19743094500052097</v>
      </c>
    </row>
    <row r="7" spans="1:24">
      <c r="A7" s="1"/>
      <c r="B7" s="1"/>
      <c r="C7" s="198" t="s">
        <v>281</v>
      </c>
      <c r="D7" s="198"/>
      <c r="E7" s="198"/>
      <c r="F7" s="198" t="s">
        <v>283</v>
      </c>
      <c r="G7" s="198"/>
      <c r="H7" s="198"/>
      <c r="I7" s="1"/>
    </row>
    <row r="8" spans="1:24">
      <c r="A8" s="1"/>
      <c r="B8" s="1"/>
      <c r="C8" s="1" t="s">
        <v>6</v>
      </c>
      <c r="D8" s="3" t="s">
        <v>6</v>
      </c>
      <c r="E8" s="3" t="s">
        <v>6</v>
      </c>
      <c r="F8" s="198" t="s">
        <v>282</v>
      </c>
      <c r="G8" s="198"/>
      <c r="H8" s="198"/>
      <c r="I8" s="1"/>
      <c r="K8" s="198" t="s">
        <v>19</v>
      </c>
      <c r="L8" s="198"/>
      <c r="M8" s="198"/>
      <c r="Q8" s="1" t="s">
        <v>109</v>
      </c>
      <c r="R8" s="1" t="s">
        <v>127</v>
      </c>
      <c r="S8" s="1" t="s">
        <v>128</v>
      </c>
      <c r="T8" s="1" t="s">
        <v>264</v>
      </c>
    </row>
    <row r="9" spans="1:24">
      <c r="A9" s="1" t="s">
        <v>108</v>
      </c>
      <c r="B9" s="1" t="s">
        <v>109</v>
      </c>
      <c r="C9" s="3" t="s">
        <v>112</v>
      </c>
      <c r="D9" s="3" t="s">
        <v>110</v>
      </c>
      <c r="E9" s="3" t="s">
        <v>264</v>
      </c>
      <c r="F9" s="3" t="s">
        <v>107</v>
      </c>
      <c r="G9" s="3" t="s">
        <v>117</v>
      </c>
      <c r="H9" s="3" t="s">
        <v>119</v>
      </c>
      <c r="I9" s="1"/>
      <c r="K9" s="1" t="s">
        <v>109</v>
      </c>
      <c r="L9" s="1" t="s">
        <v>112</v>
      </c>
      <c r="M9" s="1" t="s">
        <v>110</v>
      </c>
      <c r="N9" s="3" t="s">
        <v>264</v>
      </c>
      <c r="P9" s="1" t="s">
        <v>115</v>
      </c>
      <c r="Q9" s="32">
        <f>VARP(K10:K69)</f>
        <v>2.8292903667628548E-3</v>
      </c>
      <c r="R9" s="32">
        <f>VARP(L10:L69)</f>
        <v>3.3422222464024234E-3</v>
      </c>
      <c r="S9" s="32">
        <f>VARP(M10:M69)</f>
        <v>3.1659971141693207E-4</v>
      </c>
      <c r="T9" s="32">
        <f>VARP(N10:N69)</f>
        <v>1.4649106673611824E-4</v>
      </c>
      <c r="U9" s="83"/>
      <c r="V9" s="84" t="s">
        <v>983</v>
      </c>
      <c r="X9" s="25">
        <f>MAX(N10:N68)</f>
        <v>2.3011694951717537E-2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1.0142728745023935E-2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>B10-$K$3-SUMPRODUCT(F10:H10,$L$3:$N$3)</f>
        <v>4.1144324762201742E-2</v>
      </c>
      <c r="L10" s="18">
        <f>C10-$K$4-SUMPRODUCT(F10:H10,$L$4:$N$4)</f>
        <v>4.0290958816430245E-2</v>
      </c>
      <c r="M10" s="25">
        <f>D10-$K$5-SUMPRODUCT(F10:H10,$L$5:$N$5)</f>
        <v>4.5372529238851753E-3</v>
      </c>
      <c r="N10" s="25">
        <f>E10-$K$6-SUMPRODUCT(F10:H10,$L$6:$N$6)</f>
        <v>2.1829465382997071E-2</v>
      </c>
      <c r="P10" s="1" t="s">
        <v>114</v>
      </c>
      <c r="Q10" s="5">
        <f>Q9/VARP(B10:B69)</f>
        <v>0.44615947597883793</v>
      </c>
      <c r="R10" s="5">
        <f>R9/VARP(C10:C69)</f>
        <v>0.43948849033525456</v>
      </c>
      <c r="S10" s="5">
        <f>S9/VARP(D10:D69)</f>
        <v>7.0689183536965128E-2</v>
      </c>
      <c r="T10" s="5">
        <f>T9/VARP(E10:E69)</f>
        <v>4.778000690966331E-2</v>
      </c>
      <c r="V10" s="1" t="s">
        <v>984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-2.8118169353343547E-2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ref="K11:K68" si="0">B11-$K$3-SUMPRODUCT(F11:H11,$L$3:$N$3)</f>
        <v>-4.6456194965503531E-2</v>
      </c>
      <c r="L11" s="18">
        <f t="shared" ref="L11:L68" si="1">C11-$K$4-SUMPRODUCT(F11:H11,$L$4:$N$4)</f>
        <v>-4.3158898005634758E-2</v>
      </c>
      <c r="M11" s="25">
        <f t="shared" ref="M11:M68" si="2">D11-$K$5-SUMPRODUCT(F11:H11,$L$5:$N$5)</f>
        <v>-1.058561773451684E-2</v>
      </c>
      <c r="N11" s="25">
        <f t="shared" ref="N11:N68" si="3">E11-$K$6-SUMPRODUCT(F11:H11,$L$6:$N$6)</f>
        <v>2.3927626490975878E-3</v>
      </c>
      <c r="P11" s="1" t="s">
        <v>263</v>
      </c>
      <c r="Q11" s="5">
        <f>1-Q10</f>
        <v>0.55384052402116213</v>
      </c>
      <c r="R11" s="5">
        <f>1-R10</f>
        <v>0.5605115096647455</v>
      </c>
      <c r="S11" s="5">
        <f>1-S10</f>
        <v>0.92931081646303482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2.8956768450415916E-3</v>
      </c>
      <c r="E12">
        <v>5.3781025739366006E-3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1.5978342800852252E-3</v>
      </c>
      <c r="N12" s="25">
        <f t="shared" si="3"/>
        <v>3.5496516222284554E-3</v>
      </c>
    </row>
    <row r="13" spans="1:24">
      <c r="A13" s="50">
        <v>42853</v>
      </c>
      <c r="B13">
        <v>4.2370872335150696E-2</v>
      </c>
      <c r="C13">
        <v>0.11849288591065189</v>
      </c>
      <c r="D13">
        <v>1.9393531154489742E-2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9.8100003038228967E-3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thickBot="1">
      <c r="A14" s="50">
        <v>42886</v>
      </c>
      <c r="B14">
        <v>7.4276495549070204E-2</v>
      </c>
      <c r="C14">
        <v>-3.9139364258809525E-2</v>
      </c>
      <c r="D14">
        <v>-2.4649902231626813E-2</v>
      </c>
      <c r="E14">
        <v>-1.2301504450929791E-2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-2.1358040709110501E-2</v>
      </c>
      <c r="M14" s="25">
        <f t="shared" si="2"/>
        <v>-7.5187994631902288E-3</v>
      </c>
      <c r="N14" s="25">
        <f t="shared" si="3"/>
        <v>4.6761758435147384E-3</v>
      </c>
      <c r="P14" s="1" t="s">
        <v>109</v>
      </c>
    </row>
    <row r="15" spans="1:24">
      <c r="A15" s="50">
        <v>42916</v>
      </c>
      <c r="B15">
        <v>-2.77639854898061E-2</v>
      </c>
      <c r="C15">
        <v>0.10799578576738184</v>
      </c>
      <c r="D15">
        <v>1.7728743362205347E-2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8.3182172338958998E-2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56</v>
      </c>
      <c r="R15" s="28" t="s">
        <v>45</v>
      </c>
      <c r="S15" s="28" t="s">
        <v>57</v>
      </c>
      <c r="T15" s="28" t="s">
        <v>58</v>
      </c>
      <c r="U15" s="28" t="s">
        <v>59</v>
      </c>
      <c r="V15" s="28" t="s">
        <v>60</v>
      </c>
      <c r="W15" s="30"/>
      <c r="X15" s="30"/>
    </row>
    <row r="16" spans="1:24">
      <c r="A16" s="50">
        <v>42947</v>
      </c>
      <c r="B16">
        <v>1.9433914562887299E-2</v>
      </c>
      <c r="C16">
        <v>-3.0104413760995322E-2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-1.6397088659075902E-2</v>
      </c>
      <c r="L16" s="18">
        <f t="shared" si="1"/>
        <v>-3.1339003651306596E-2</v>
      </c>
      <c r="M16" s="25">
        <f t="shared" si="2"/>
        <v>-1.5813575392731784E-2</v>
      </c>
      <c r="N16" s="25">
        <f t="shared" si="3"/>
        <v>3.0128363621656261E-3</v>
      </c>
      <c r="P16" t="s">
        <v>61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-1.1277712123382373E-2</v>
      </c>
      <c r="V16">
        <v>1.9881553210205925E-2</v>
      </c>
    </row>
    <row r="17" spans="1:24">
      <c r="A17" s="50">
        <v>42978</v>
      </c>
      <c r="B17">
        <v>-8.2688792018283906E-3</v>
      </c>
      <c r="C17">
        <v>3.5162487654523414E-2</v>
      </c>
      <c r="D17">
        <v>-3.3603271172691646E-3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5.4875311852833418E-2</v>
      </c>
      <c r="M17" s="25">
        <f t="shared" si="2"/>
        <v>1.3998041118170882E-2</v>
      </c>
      <c r="N17" s="25">
        <f t="shared" si="3"/>
        <v>5.9956870539037681E-3</v>
      </c>
      <c r="P17" t="s">
        <v>62</v>
      </c>
      <c r="Q17">
        <v>1.2642625641862961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1.5920542203547634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4.5845161248961395E-2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-1.2772442729458666E-2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-1.4064876144170388E-2</v>
      </c>
      <c r="P18" t="s">
        <v>65</v>
      </c>
      <c r="Q18">
        <v>-0.41658516041819266</v>
      </c>
      <c r="R18">
        <v>0.28644333177291315</v>
      </c>
      <c r="S18">
        <v>-1.4543370859421978</v>
      </c>
      <c r="T18">
        <v>0.15153618156167958</v>
      </c>
      <c r="U18">
        <v>-0.99063042516566124</v>
      </c>
      <c r="V18">
        <v>0.15746010432927587</v>
      </c>
    </row>
    <row r="19" spans="1:24" ht="15.75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1.2396041151790183E-3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116</v>
      </c>
      <c r="Q19" s="27">
        <v>-0.82055881189184898</v>
      </c>
      <c r="R19" s="27">
        <v>0.20589010662820897</v>
      </c>
      <c r="S19" s="27">
        <v>-3.9854212780296083</v>
      </c>
      <c r="T19" s="27">
        <v>2.0009194389192979E-4</v>
      </c>
      <c r="U19" s="27">
        <v>-1.2331718060109571</v>
      </c>
      <c r="V19" s="27">
        <v>-0.40794581777274086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2.9795871128239445E-2</v>
      </c>
      <c r="E20">
        <v>1.9843319782065202E-2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1.7172250931753189E-2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-3.5499643918408229E-3</v>
      </c>
    </row>
    <row r="21" spans="1:24" ht="15.75" thickBot="1">
      <c r="A21" s="50">
        <v>43098</v>
      </c>
      <c r="B21">
        <v>-7.1865555953898397E-3</v>
      </c>
      <c r="C21">
        <v>-7.0965173956006766E-2</v>
      </c>
      <c r="D21">
        <v>-6.8606069651432336E-3</v>
      </c>
      <c r="E21">
        <v>1.3185444404610159E-2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-6.6560310695971672E-3</v>
      </c>
      <c r="N21" s="25">
        <f t="shared" si="3"/>
        <v>1.4090711668378303E-2</v>
      </c>
      <c r="P21" s="1" t="s">
        <v>980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56</v>
      </c>
      <c r="R22" s="28" t="s">
        <v>45</v>
      </c>
      <c r="S22" s="28" t="s">
        <v>57</v>
      </c>
      <c r="T22" s="28" t="s">
        <v>58</v>
      </c>
      <c r="U22" s="28" t="s">
        <v>59</v>
      </c>
      <c r="V22" s="28" t="s">
        <v>60</v>
      </c>
    </row>
    <row r="23" spans="1:24">
      <c r="A23" s="50">
        <v>43159</v>
      </c>
      <c r="B23">
        <v>4.1429085528136296E-2</v>
      </c>
      <c r="C23">
        <v>-8.5015318478288304E-2</v>
      </c>
      <c r="D23">
        <v>-5.6048127347141173E-2</v>
      </c>
      <c r="E23">
        <v>-4.1025914471863704E-2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-5.9133199762311933E-3</v>
      </c>
      <c r="P23" t="s">
        <v>61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-2.2600625974647483E-2</v>
      </c>
      <c r="V23">
        <v>1.1265546184799923E-2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2.4165129188969542E-4</v>
      </c>
      <c r="F24">
        <v>-2.35E-2</v>
      </c>
      <c r="G24">
        <v>4.0599999999999997E-2</v>
      </c>
      <c r="H24">
        <v>-2.3E-3</v>
      </c>
      <c r="K24" s="18">
        <f t="shared" si="0"/>
        <v>-3.6150267475167502E-3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62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1.4895206580380946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-3.0736177531934025E-3</v>
      </c>
      <c r="P25" t="s">
        <v>65</v>
      </c>
      <c r="Q25">
        <v>0.98115228621681949</v>
      </c>
      <c r="R25">
        <v>0.31132759658778675</v>
      </c>
      <c r="S25">
        <v>3.1515108103825247</v>
      </c>
      <c r="T25">
        <v>2.6284604411765484E-3</v>
      </c>
      <c r="U25">
        <v>0.35723784038111794</v>
      </c>
      <c r="V25">
        <v>1.6050667320525212</v>
      </c>
    </row>
    <row r="26" spans="1:24" ht="15.75" thickBot="1">
      <c r="A26" s="50">
        <v>43251</v>
      </c>
      <c r="B26">
        <v>3.9539412460286597E-2</v>
      </c>
      <c r="C26">
        <v>2.4424660014157943E-2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-1.8282848280709099E-3</v>
      </c>
      <c r="L26" s="18">
        <f t="shared" si="1"/>
        <v>-5.2537960386513857E-2</v>
      </c>
      <c r="M26" s="25">
        <f t="shared" si="2"/>
        <v>-1.9098453354530122E-2</v>
      </c>
      <c r="N26" s="25">
        <f t="shared" si="3"/>
        <v>-2.1498098784790837E-2</v>
      </c>
      <c r="P26" s="27" t="s">
        <v>116</v>
      </c>
      <c r="Q26" s="27">
        <v>-1.5967349835691688E-2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4.2065287564718896E-2</v>
      </c>
      <c r="C27">
        <v>3.3867852037264543E-2</v>
      </c>
      <c r="D27">
        <v>2.5157502038554861E-3</v>
      </c>
      <c r="E27">
        <v>1.7902875647188973E-3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1.7283298708858398E-2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thickBot="1">
      <c r="A28" s="50">
        <v>43312</v>
      </c>
      <c r="B28">
        <v>4.4675897369017802E-2</v>
      </c>
      <c r="C28">
        <v>-2.1062996074557305E-2</v>
      </c>
      <c r="D28">
        <v>-6.0540239670116344E-3</v>
      </c>
      <c r="E28">
        <v>5.8368973690178004E-3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-2.9398436949994514E-2</v>
      </c>
      <c r="M28" s="25">
        <f t="shared" si="2"/>
        <v>-2.4045084789685582E-2</v>
      </c>
      <c r="N28" s="25">
        <f t="shared" si="3"/>
        <v>-7.0642229983196797E-3</v>
      </c>
      <c r="P28" s="1" t="s">
        <v>981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3.1539710082495065E-2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-5.9543307434770307E-3</v>
      </c>
      <c r="N29" s="25">
        <f t="shared" si="3"/>
        <v>-1.2582579419027684E-2</v>
      </c>
      <c r="P29" s="28"/>
      <c r="Q29" s="28" t="s">
        <v>56</v>
      </c>
      <c r="R29" s="28" t="s">
        <v>45</v>
      </c>
      <c r="S29" s="28" t="s">
        <v>57</v>
      </c>
      <c r="T29" s="28" t="s">
        <v>58</v>
      </c>
      <c r="U29" s="28" t="s">
        <v>59</v>
      </c>
      <c r="V29" s="28" t="s">
        <v>60</v>
      </c>
      <c r="W29" s="30"/>
      <c r="X29" s="30"/>
    </row>
    <row r="30" spans="1:24">
      <c r="A30" s="50">
        <v>43371</v>
      </c>
      <c r="B30">
        <v>-5.8243219966860899E-3</v>
      </c>
      <c r="C30">
        <v>1.4934776811098508E-2</v>
      </c>
      <c r="D30">
        <v>-3.2230462945655597E-3</v>
      </c>
      <c r="E30">
        <v>-1.1332321996686089E-2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1.9460622300389287E-2</v>
      </c>
      <c r="N30" s="25">
        <f t="shared" si="3"/>
        <v>9.2447560260301275E-3</v>
      </c>
      <c r="P30" t="s">
        <v>61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2.8402278693645325E-3</v>
      </c>
    </row>
    <row r="31" spans="1:24">
      <c r="A31" s="50">
        <v>43404</v>
      </c>
      <c r="B31">
        <v>-0.203191707555853</v>
      </c>
      <c r="C31">
        <v>-0.14736710616336626</v>
      </c>
      <c r="D31">
        <v>-0.11617984401338648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-0.10233250065402372</v>
      </c>
      <c r="L31" s="18">
        <f t="shared" si="1"/>
        <v>-6.8265406489886049E-3</v>
      </c>
      <c r="M31" s="25">
        <f t="shared" si="2"/>
        <v>3.752269787374668E-3</v>
      </c>
      <c r="N31" s="25">
        <f t="shared" si="3"/>
        <v>1.6556781975073889E-2</v>
      </c>
      <c r="P31" t="s">
        <v>62</v>
      </c>
      <c r="Q31">
        <v>1.1456120424984471</v>
      </c>
      <c r="R31">
        <v>5.4715071262528017E-2</v>
      </c>
      <c r="S31">
        <v>20.937778496197026</v>
      </c>
      <c r="T31">
        <v>7.1076240892171459E-28</v>
      </c>
      <c r="U31">
        <v>1.0359605893674839</v>
      </c>
      <c r="V31">
        <v>1.2552634956294102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1.8675040205280918E-2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3.0304466191592119E-2</v>
      </c>
      <c r="L32" s="18">
        <f t="shared" si="1"/>
        <v>1.188127989496615E-2</v>
      </c>
      <c r="M32" s="25">
        <f t="shared" si="2"/>
        <v>6.3204383330429711E-3</v>
      </c>
      <c r="N32" s="25">
        <f t="shared" si="3"/>
        <v>-1.0296660590964325E-2</v>
      </c>
      <c r="P32" t="s">
        <v>65</v>
      </c>
      <c r="Q32">
        <v>0.7604976484416166</v>
      </c>
      <c r="R32">
        <v>9.5819789727753152E-2</v>
      </c>
      <c r="S32">
        <v>7.9367492936727535</v>
      </c>
      <c r="T32">
        <v>1.1057938390213591E-10</v>
      </c>
      <c r="U32">
        <v>0.56847049870185007</v>
      </c>
      <c r="V32">
        <v>0.95252479818138314</v>
      </c>
    </row>
    <row r="33" spans="1:22" ht="15.75" thickBot="1">
      <c r="A33" s="50">
        <v>43465</v>
      </c>
      <c r="B33">
        <v>-0.11234978632261</v>
      </c>
      <c r="C33">
        <v>-0.20878120563111521</v>
      </c>
      <c r="D33">
        <v>-0.14652542972523952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-2.1586610294295885E-2</v>
      </c>
      <c r="L33" s="18">
        <f t="shared" si="1"/>
        <v>-7.1447529737821508E-2</v>
      </c>
      <c r="M33" s="25">
        <f t="shared" si="2"/>
        <v>-1.2423118885430129E-2</v>
      </c>
      <c r="N33" s="25">
        <f t="shared" si="3"/>
        <v>1.0165746560654929E-2</v>
      </c>
      <c r="P33" s="27" t="s">
        <v>116</v>
      </c>
      <c r="Q33" s="27">
        <v>0.20636389131193436</v>
      </c>
      <c r="R33" s="27">
        <v>6.8873471768509956E-2</v>
      </c>
      <c r="S33" s="27">
        <v>2.9962754310620827</v>
      </c>
      <c r="T33" s="27">
        <v>4.0937721209717767E-3</v>
      </c>
      <c r="U33" s="27">
        <v>6.833836950723976E-2</v>
      </c>
      <c r="V33" s="27">
        <v>0.34438941311662896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0.14976319665725654</v>
      </c>
      <c r="E34">
        <v>0.11926013948591901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4.1161248174243145E-2</v>
      </c>
      <c r="L34" s="18">
        <f t="shared" si="1"/>
        <v>0.12567170508933212</v>
      </c>
      <c r="M34" s="25">
        <f t="shared" si="2"/>
        <v>3.4642196954096691E-2</v>
      </c>
      <c r="N34" s="25">
        <f t="shared" si="3"/>
        <v>2.3011694951717537E-2</v>
      </c>
    </row>
    <row r="35" spans="1:22" ht="15.75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982</v>
      </c>
    </row>
    <row r="36" spans="1:22">
      <c r="A36" s="50">
        <v>43553</v>
      </c>
      <c r="B36">
        <v>8.4935766342722402E-2</v>
      </c>
      <c r="C36">
        <v>-2.4985249735414983E-2</v>
      </c>
      <c r="D36">
        <v>-1.4221028889782484E-2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2.1080087931179339E-2</v>
      </c>
      <c r="L36" s="18">
        <f t="shared" si="1"/>
        <v>-3.1918287880237824E-3</v>
      </c>
      <c r="M36" s="25">
        <f t="shared" si="2"/>
        <v>6.5692099184219647E-3</v>
      </c>
      <c r="N36" s="25">
        <f t="shared" si="3"/>
        <v>1.5593050952568117E-2</v>
      </c>
      <c r="P36" s="28"/>
      <c r="Q36" s="28" t="s">
        <v>56</v>
      </c>
      <c r="R36" s="28" t="s">
        <v>45</v>
      </c>
      <c r="S36" s="28" t="s">
        <v>57</v>
      </c>
      <c r="T36" s="28" t="s">
        <v>58</v>
      </c>
      <c r="U36" s="28" t="s">
        <v>59</v>
      </c>
      <c r="V36" s="28" t="s">
        <v>60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1.9354778341288698E-2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3.7049604682876297E-2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-7.7045631114773701E-3</v>
      </c>
      <c r="P37" t="s">
        <v>61</v>
      </c>
      <c r="Q37">
        <v>-1.272674296651861E-3</v>
      </c>
      <c r="R37">
        <v>1.7689542533314805E-3</v>
      </c>
      <c r="S37">
        <v>-0.71945008993591952</v>
      </c>
      <c r="T37">
        <v>0.47490968975379044</v>
      </c>
      <c r="U37">
        <v>-4.8177378399179597E-3</v>
      </c>
      <c r="V37">
        <v>2.2723892466142382E-3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-2.120487163690811E-2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62</v>
      </c>
      <c r="Q38">
        <v>0.92251447075527582</v>
      </c>
      <c r="R38">
        <v>3.7218364308527499E-2</v>
      </c>
      <c r="S38">
        <v>24.786539868005661</v>
      </c>
      <c r="T38">
        <v>1.5915851037592688E-31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-3.0908053717587425E-2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65</v>
      </c>
      <c r="Q39">
        <v>0.71746027580472449</v>
      </c>
      <c r="R39">
        <v>6.5178674901889277E-2</v>
      </c>
      <c r="S39">
        <v>11.007592236029458</v>
      </c>
      <c r="T39">
        <v>1.602148575223891E-15</v>
      </c>
      <c r="U39">
        <v>0.58683929238589416</v>
      </c>
      <c r="V39">
        <v>0.84808125922355482</v>
      </c>
    </row>
    <row r="40" spans="1:22" ht="15.75" thickBot="1">
      <c r="A40" s="50">
        <v>43677</v>
      </c>
      <c r="B40">
        <v>-1.51791033711462E-2</v>
      </c>
      <c r="C40">
        <v>-5.6468579133351647E-2</v>
      </c>
      <c r="D40">
        <v>-1.3567623568299627E-2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-1.0942077083779948E-2</v>
      </c>
      <c r="N40" s="25">
        <f t="shared" si="3"/>
        <v>-2.8608318948725605E-3</v>
      </c>
      <c r="P40" s="27" t="s">
        <v>116</v>
      </c>
      <c r="Q40" s="27">
        <v>0.19743094500052097</v>
      </c>
      <c r="R40" s="27">
        <v>4.6849211822721684E-2</v>
      </c>
      <c r="S40" s="27">
        <v>4.2141785810101444</v>
      </c>
      <c r="T40" s="27">
        <v>9.3963344422758077E-5</v>
      </c>
      <c r="U40" s="27">
        <v>0.10354302644598742</v>
      </c>
      <c r="V40" s="27">
        <v>0.29131886355505454</v>
      </c>
    </row>
    <row r="41" spans="1:22">
      <c r="A41" s="50">
        <v>43707</v>
      </c>
      <c r="B41">
        <v>-4.9473836667546803E-2</v>
      </c>
      <c r="C41">
        <v>-0.10321210577421719</v>
      </c>
      <c r="D41">
        <v>-2.6614019160946974E-2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-7.1440219965300727E-2</v>
      </c>
      <c r="L41" s="18">
        <f t="shared" si="1"/>
        <v>-4.6334297679751231E-2</v>
      </c>
      <c r="M41" s="25">
        <f t="shared" si="2"/>
        <v>3.3172733353293064E-2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0.10739071290360556</v>
      </c>
      <c r="D42">
        <v>2.4532002432865428E-2</v>
      </c>
      <c r="E42">
        <v>1.6681223260383498E-2</v>
      </c>
      <c r="F42">
        <v>1.43E-2</v>
      </c>
      <c r="G42">
        <v>-9.7000000000000003E-3</v>
      </c>
      <c r="H42">
        <v>6.83E-2</v>
      </c>
      <c r="K42" s="18">
        <f t="shared" si="0"/>
        <v>5.8896388452644999E-3</v>
      </c>
      <c r="L42" s="18">
        <f t="shared" si="1"/>
        <v>0.10746048673762745</v>
      </c>
      <c r="M42" s="25">
        <f t="shared" si="2"/>
        <v>3.8033273924100441E-3</v>
      </c>
      <c r="N42" s="25">
        <f t="shared" si="3"/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-1.4778779636505621E-2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0"/>
        <v>-2.2541357136718242E-2</v>
      </c>
      <c r="L43" s="18">
        <f t="shared" si="1"/>
        <v>-2.9124033376125572E-2</v>
      </c>
      <c r="M43" s="25">
        <f t="shared" si="2"/>
        <v>-3.4153554271296002E-2</v>
      </c>
      <c r="N43" s="25">
        <f t="shared" si="3"/>
        <v>-1.0638876485377117E-2</v>
      </c>
    </row>
    <row r="44" spans="1:22">
      <c r="A44" s="50">
        <v>43798</v>
      </c>
      <c r="B44">
        <v>1.2587300994015602E-2</v>
      </c>
      <c r="C44">
        <v>6.7739067245688706E-2</v>
      </c>
      <c r="D44">
        <v>2.8325709735793576E-2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0"/>
        <v>-5.388418750027564E-2</v>
      </c>
      <c r="L44" s="18">
        <f t="shared" si="1"/>
        <v>2.137796991992888E-2</v>
      </c>
      <c r="M44" s="25">
        <f t="shared" si="2"/>
        <v>-1.5553503137934334E-2</v>
      </c>
      <c r="N44" s="25">
        <f t="shared" si="3"/>
        <v>-1.0578911844988988E-2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2.7657436329178216E-2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0"/>
        <v>3.4870991916222012E-3</v>
      </c>
      <c r="L45" s="18">
        <f t="shared" si="1"/>
        <v>-9.3088279606905397E-3</v>
      </c>
      <c r="M45" s="25">
        <f t="shared" si="2"/>
        <v>-1.0874110217298193E-2</v>
      </c>
      <c r="N45" s="25">
        <f t="shared" si="3"/>
        <v>1.0397972430546687E-2</v>
      </c>
    </row>
    <row r="46" spans="1:22">
      <c r="A46" s="50">
        <v>43861</v>
      </c>
      <c r="B46">
        <v>8.6063819301793701E-2</v>
      </c>
      <c r="C46">
        <v>-4.5956575919059106E-2</v>
      </c>
      <c r="D46">
        <v>-3.8345925161472144E-2</v>
      </c>
      <c r="E46">
        <v>-1.4334180698206302E-2</v>
      </c>
      <c r="F46">
        <v>-1.1000000000000001E-3</v>
      </c>
      <c r="G46">
        <v>-3.1300000000000001E-2</v>
      </c>
      <c r="H46">
        <v>-6.2399999999999997E-2</v>
      </c>
      <c r="K46" s="18">
        <f t="shared" si="0"/>
        <v>1.8910602195846046E-2</v>
      </c>
      <c r="L46" s="18">
        <f t="shared" si="1"/>
        <v>-9.3287541544512069E-3</v>
      </c>
      <c r="M46" s="25">
        <f t="shared" si="2"/>
        <v>1.9663350533572974E-3</v>
      </c>
      <c r="N46" s="25">
        <f t="shared" si="3"/>
        <v>2.2729457116996747E-2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-0.11050457793660462</v>
      </c>
      <c r="D47">
        <v>-0.10021555739128962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0"/>
        <v>8.4605397255450993E-3</v>
      </c>
      <c r="L47" s="18">
        <f t="shared" si="1"/>
        <v>-2.3414626793318988E-2</v>
      </c>
      <c r="M47" s="25">
        <f t="shared" si="2"/>
        <v>-4.7178288803983726E-3</v>
      </c>
      <c r="N47" s="25">
        <f t="shared" si="3"/>
        <v>5.5521583627915622E-3</v>
      </c>
    </row>
    <row r="48" spans="1:22">
      <c r="A48" s="50">
        <v>43921</v>
      </c>
      <c r="B48">
        <v>3.4020555117783596E-2</v>
      </c>
      <c r="C48">
        <v>-0.10405736074224115</v>
      </c>
      <c r="D48">
        <v>-0.22270083920255737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0"/>
        <v>6.3463605890811389E-2</v>
      </c>
      <c r="L48" s="18">
        <f t="shared" si="1"/>
        <v>9.8979111215392129E-2</v>
      </c>
      <c r="M48" s="25">
        <f t="shared" si="2"/>
        <v>-9.2599159154305166E-4</v>
      </c>
      <c r="N48" s="25">
        <f t="shared" si="3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0.18089978297662243</v>
      </c>
      <c r="E49">
        <v>0.15287216883183702</v>
      </c>
      <c r="F49">
        <v>0.13650000000000001</v>
      </c>
      <c r="G49">
        <v>2.47E-2</v>
      </c>
      <c r="H49">
        <v>-1.18E-2</v>
      </c>
      <c r="K49" s="18">
        <f t="shared" si="0"/>
        <v>9.1633467759001302E-2</v>
      </c>
      <c r="L49" s="18">
        <f t="shared" si="1"/>
        <v>-0.10281412213836466</v>
      </c>
      <c r="M49" s="25">
        <f t="shared" si="2"/>
        <v>1.054594493055111E-2</v>
      </c>
      <c r="N49" s="25">
        <f t="shared" si="3"/>
        <v>1.2830034209023178E-2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0"/>
        <v>-0.11781317441961213</v>
      </c>
      <c r="L50" s="18">
        <f t="shared" si="1"/>
        <v>-3.5532004096452206E-2</v>
      </c>
      <c r="M50" s="25">
        <f t="shared" si="2"/>
        <v>3.5105802901409799E-3</v>
      </c>
      <c r="N50" s="25">
        <f t="shared" si="3"/>
        <v>4.7653591772747333E-3</v>
      </c>
    </row>
    <row r="51" spans="1:24">
      <c r="A51" s="50">
        <v>44012</v>
      </c>
      <c r="B51">
        <v>0.12856674704826501</v>
      </c>
      <c r="C51">
        <v>0.17991991427354515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0"/>
        <v>8.7630708478526012E-2</v>
      </c>
      <c r="L51" s="18">
        <f t="shared" si="1"/>
        <v>0.13099070796460402</v>
      </c>
      <c r="M51" s="25">
        <f t="shared" si="2"/>
        <v>3.1596582560582856E-2</v>
      </c>
      <c r="N51" s="25">
        <f t="shared" si="3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0.14459108903631568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0"/>
        <v>4.7427055546587105E-2</v>
      </c>
      <c r="L52" s="18">
        <f t="shared" si="1"/>
        <v>0.10690898326008152</v>
      </c>
      <c r="M52" s="25">
        <f t="shared" si="2"/>
        <v>2.40014064860221E-2</v>
      </c>
      <c r="N52" s="25">
        <f t="shared" si="3"/>
        <v>6.9489972305094086E-3</v>
      </c>
    </row>
    <row r="53" spans="1:24">
      <c r="A53" s="50">
        <v>44074</v>
      </c>
      <c r="B53">
        <v>8.9460974089238296E-2</v>
      </c>
      <c r="C53">
        <v>0.11269270645081997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0"/>
        <v>-3.6263040642938935E-2</v>
      </c>
      <c r="L53" s="18">
        <f t="shared" si="1"/>
        <v>3.3583759037543778E-2</v>
      </c>
      <c r="M53" s="25">
        <f t="shared" si="2"/>
        <v>-2.3933290920213623E-3</v>
      </c>
      <c r="N53" s="25">
        <f t="shared" si="3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0"/>
        <v>-6.8981212128736591E-2</v>
      </c>
      <c r="L54" s="18">
        <f t="shared" si="1"/>
        <v>-1.2384623948780329E-2</v>
      </c>
      <c r="M54" s="25">
        <f t="shared" si="2"/>
        <v>4.1129137944252783E-2</v>
      </c>
      <c r="N54" s="25">
        <f t="shared" si="3"/>
        <v>1.1943072627607212E-2</v>
      </c>
    </row>
    <row r="55" spans="1:24">
      <c r="A55" s="50">
        <v>44134</v>
      </c>
      <c r="B55">
        <v>-3.6754122717197898E-2</v>
      </c>
      <c r="C55">
        <v>2.3413377977907657E-2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0"/>
        <v>3.8162973347929632E-2</v>
      </c>
      <c r="L55" s="18">
        <f t="shared" si="1"/>
        <v>1.047567060942993E-2</v>
      </c>
      <c r="M55" s="25">
        <f t="shared" si="2"/>
        <v>-1.6935953474810014E-3</v>
      </c>
      <c r="N55" s="25">
        <f t="shared" si="3"/>
        <v>-1.9539507238034402E-2</v>
      </c>
    </row>
    <row r="56" spans="1:24">
      <c r="A56" s="50">
        <v>44165</v>
      </c>
      <c r="B56">
        <v>4.2439929173766301E-2</v>
      </c>
      <c r="C56">
        <v>0.14499770866334438</v>
      </c>
      <c r="D56">
        <v>0.19865507017970993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0"/>
        <v>-7.9274424559024559E-2</v>
      </c>
      <c r="L56" s="18">
        <f t="shared" si="1"/>
        <v>-4.6651750793710811E-2</v>
      </c>
      <c r="M56" s="25">
        <f t="shared" si="2"/>
        <v>1.0409445776491139E-2</v>
      </c>
      <c r="N56" s="25">
        <f t="shared" si="3"/>
        <v>1.4535953330533702E-2</v>
      </c>
    </row>
    <row r="57" spans="1:24">
      <c r="A57" s="50">
        <v>44196</v>
      </c>
      <c r="B57">
        <v>2.7058323595060899E-2</v>
      </c>
      <c r="C57">
        <v>1.4109616642817855E-3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0"/>
        <v>-2.8458607887490526E-2</v>
      </c>
      <c r="L57" s="18">
        <f t="shared" si="1"/>
        <v>-9.3029843305335952E-2</v>
      </c>
      <c r="M57" s="25">
        <f t="shared" si="2"/>
        <v>-6.5293914559099581E-3</v>
      </c>
      <c r="N57" s="25">
        <f t="shared" si="3"/>
        <v>-1.1598306836165945E-3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2.7989966467545344E-2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0"/>
        <v>3.353658957696231E-2</v>
      </c>
      <c r="L58" s="18">
        <f t="shared" si="1"/>
        <v>4.5266265848209447E-2</v>
      </c>
      <c r="M58" s="25">
        <f t="shared" si="2"/>
        <v>-2.9965775728390216E-2</v>
      </c>
      <c r="N58" s="25">
        <f t="shared" si="3"/>
        <v>1.6423298815555494E-2</v>
      </c>
    </row>
    <row r="59" spans="1:24">
      <c r="A59" s="50">
        <v>44253</v>
      </c>
      <c r="B59">
        <v>-3.6328432804026901E-2</v>
      </c>
      <c r="C59">
        <v>0.12481067864084616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0"/>
        <v>-8.4898905153661872E-3</v>
      </c>
      <c r="L59" s="18">
        <f t="shared" si="1"/>
        <v>8.0794743362299082E-2</v>
      </c>
      <c r="M59" s="25">
        <f t="shared" si="2"/>
        <v>2.5963357413264818E-2</v>
      </c>
      <c r="N59" s="25">
        <f t="shared" si="3"/>
        <v>1.3805343732237713E-2</v>
      </c>
    </row>
    <row r="60" spans="1:24">
      <c r="A60" s="50">
        <v>44286</v>
      </c>
      <c r="B60">
        <v>-6.2813690908125109E-4</v>
      </c>
      <c r="C60">
        <v>-3.0740182416779654E-2</v>
      </c>
      <c r="D60">
        <v>2.5347735656689806E-2</v>
      </c>
      <c r="E60">
        <v>1.1448863090918748E-2</v>
      </c>
      <c r="F60">
        <v>3.0800000000000001E-2</v>
      </c>
      <c r="G60">
        <v>-2.3699999999999999E-2</v>
      </c>
      <c r="H60">
        <v>7.3200000000000001E-2</v>
      </c>
      <c r="K60" s="18">
        <f t="shared" si="0"/>
        <v>6.3224922991412342E-3</v>
      </c>
      <c r="L60" s="18">
        <f t="shared" si="1"/>
        <v>-3.5554705674199827E-2</v>
      </c>
      <c r="M60" s="25">
        <f t="shared" si="2"/>
        <v>-4.647754074235802E-3</v>
      </c>
      <c r="N60" s="25">
        <f t="shared" si="3"/>
        <v>-1.3140044949158054E-2</v>
      </c>
    </row>
    <row r="61" spans="1:24">
      <c r="A61" s="50">
        <v>44316</v>
      </c>
      <c r="B61">
        <v>0.11966263132279401</v>
      </c>
      <c r="C61">
        <v>-3.1701310240796636E-2</v>
      </c>
      <c r="D61">
        <v>3.9016191353567556E-2</v>
      </c>
      <c r="E61">
        <v>1.5612631322793998E-2</v>
      </c>
      <c r="F61">
        <v>4.9299999999999997E-2</v>
      </c>
      <c r="G61">
        <v>-3.1300000000000001E-2</v>
      </c>
      <c r="H61">
        <v>-9.8999999999999904E-3</v>
      </c>
      <c r="K61" s="18">
        <f t="shared" si="0"/>
        <v>3.1869918606179104E-2</v>
      </c>
      <c r="L61" s="18">
        <f t="shared" si="1"/>
        <v>-5.1351137353977991E-2</v>
      </c>
      <c r="M61" s="25">
        <f t="shared" si="2"/>
        <v>1.0755500332598714E-2</v>
      </c>
      <c r="N61" s="25">
        <f t="shared" si="3"/>
        <v>-4.1835848005962045E-3</v>
      </c>
    </row>
    <row r="62" spans="1:24">
      <c r="A62" s="50">
        <v>44344</v>
      </c>
      <c r="B62">
        <v>-7.1470222534654307E-2</v>
      </c>
      <c r="C62">
        <v>-5.4502402135304044E-2</v>
      </c>
      <c r="D62">
        <v>1.6207708081548821E-2</v>
      </c>
      <c r="E62">
        <v>1.2177777465345698E-2</v>
      </c>
      <c r="F62">
        <v>2.8999999999999998E-3</v>
      </c>
      <c r="G62">
        <v>-2.3999999999999998E-3</v>
      </c>
      <c r="H62">
        <v>7.0300000000000001E-2</v>
      </c>
      <c r="K62" s="18">
        <f t="shared" si="0"/>
        <v>-2.2753024423213024E-2</v>
      </c>
      <c r="L62" s="18">
        <f t="shared" si="1"/>
        <v>-4.8644024813147141E-2</v>
      </c>
      <c r="M62" s="25">
        <f t="shared" si="2"/>
        <v>2.5746497093280633E-3</v>
      </c>
      <c r="N62" s="25">
        <f t="shared" si="3"/>
        <v>-1.3823309747980263E-3</v>
      </c>
    </row>
    <row r="63" spans="1:24">
      <c r="A63" s="50">
        <v>44377</v>
      </c>
      <c r="B63">
        <v>6.6354987370939797E-2</v>
      </c>
      <c r="C63">
        <v>-1.4900071648614746E-2</v>
      </c>
      <c r="D63">
        <v>-3.7467282369541815E-3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0"/>
        <v>-2.950955658903015E-2</v>
      </c>
      <c r="L63" s="18">
        <f t="shared" si="1"/>
        <v>-5.8814195305773552E-2</v>
      </c>
      <c r="M63" s="25">
        <f t="shared" si="2"/>
        <v>-3.0071344587933847E-2</v>
      </c>
      <c r="N63" s="25">
        <f t="shared" si="3"/>
        <v>-7.5068430022041596E-4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0"/>
        <v>-8.4936871649574974E-2</v>
      </c>
      <c r="L64" s="18">
        <f t="shared" si="1"/>
        <v>-5.0534455162194819E-2</v>
      </c>
      <c r="M64" s="25">
        <f t="shared" si="2"/>
        <v>-3.5508999220022867E-3</v>
      </c>
      <c r="N64" s="25">
        <f t="shared" si="3"/>
        <v>-1.3221056002893503E-2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3.4163544550804156E-2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0"/>
        <v>-1.9977381039261582E-3</v>
      </c>
      <c r="L65" s="18">
        <f t="shared" si="1"/>
        <v>3.0206972473599859E-2</v>
      </c>
      <c r="M65" s="25">
        <f t="shared" si="2"/>
        <v>7.2308608435684291E-3</v>
      </c>
      <c r="N65" s="25">
        <f t="shared" si="3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0"/>
        <v>4.1527403786864918E-2</v>
      </c>
      <c r="L66" s="18">
        <f t="shared" si="1"/>
        <v>-4.9459053386721359E-2</v>
      </c>
      <c r="M66" s="25">
        <f t="shared" si="2"/>
        <v>1.0175995881656907E-3</v>
      </c>
      <c r="N66" s="25">
        <f t="shared" si="3"/>
        <v>-3.6744351716119956E-3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0"/>
        <v>-7.5881598708201853E-2</v>
      </c>
      <c r="L67" s="18">
        <f t="shared" si="1"/>
        <v>-1.4856425548357269E-2</v>
      </c>
      <c r="M67" s="25">
        <f t="shared" si="2"/>
        <v>-3.3649535240468244E-2</v>
      </c>
      <c r="N67" s="25">
        <f t="shared" si="3"/>
        <v>-1.729036477876654E-2</v>
      </c>
    </row>
    <row r="68" spans="1:14">
      <c r="A68" s="50">
        <v>44530</v>
      </c>
      <c r="B68">
        <v>3.8923775867227596E-2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0"/>
        <v>4.4245063700031007E-2</v>
      </c>
      <c r="L68" s="18">
        <f t="shared" si="1"/>
        <v>9.917343518319062E-2</v>
      </c>
      <c r="M68" s="25">
        <f t="shared" si="2"/>
        <v>-1.4356796227536495E-2</v>
      </c>
      <c r="N68" s="25">
        <f t="shared" si="3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9.0558445864551969E-18</v>
      </c>
      <c r="L70" s="18">
        <f>AVERAGE(L10:L68)</f>
        <v>0</v>
      </c>
      <c r="M70" s="18">
        <f>AVERAGE(M10:M68)</f>
        <v>8.1149776164338772E-18</v>
      </c>
      <c r="N70" s="18">
        <f>AVERAGE(N10:N68)</f>
        <v>6.4096562332702363E-18</v>
      </c>
    </row>
  </sheetData>
  <mergeCells count="6">
    <mergeCell ref="K8:M8"/>
    <mergeCell ref="K1:M1"/>
    <mergeCell ref="B6:E6"/>
    <mergeCell ref="C7:E7"/>
    <mergeCell ref="F8:H8"/>
    <mergeCell ref="F7:H7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C7ED-1C67-48B0-867B-6D9A23D7B264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7" t="s">
        <v>175</v>
      </c>
      <c r="R1" s="197"/>
      <c r="S1" s="197"/>
    </row>
    <row r="2" spans="1:29">
      <c r="A2" t="s">
        <v>108</v>
      </c>
      <c r="B2" t="s">
        <v>933</v>
      </c>
      <c r="C2" t="s">
        <v>931</v>
      </c>
      <c r="D2" t="s">
        <v>932</v>
      </c>
      <c r="H2" t="s">
        <v>933</v>
      </c>
      <c r="I2" t="s">
        <v>931</v>
      </c>
      <c r="J2" t="s">
        <v>932</v>
      </c>
      <c r="P2" t="s">
        <v>108</v>
      </c>
      <c r="Q2" t="s">
        <v>933</v>
      </c>
      <c r="R2" t="s">
        <v>931</v>
      </c>
      <c r="S2" t="s">
        <v>932</v>
      </c>
    </row>
    <row r="3" spans="1:29" ht="15.75" thickBot="1">
      <c r="A3" t="s">
        <v>289</v>
      </c>
      <c r="B3">
        <v>-1.1999999999999999E-3</v>
      </c>
      <c r="C3">
        <v>-2.7699999999999999E-2</v>
      </c>
      <c r="D3">
        <v>1.13999999999999E-2</v>
      </c>
      <c r="G3" t="s">
        <v>0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289</v>
      </c>
      <c r="Q3">
        <f>B3-0.001</f>
        <v>-2.1999999999999997E-3</v>
      </c>
      <c r="R3">
        <f>C3-0.001</f>
        <v>-2.87E-2</v>
      </c>
      <c r="S3">
        <f>D3-0.001</f>
        <v>1.0399999999999899E-2</v>
      </c>
      <c r="U3" s="24" t="s">
        <v>934</v>
      </c>
    </row>
    <row r="4" spans="1:29">
      <c r="A4" t="s">
        <v>290</v>
      </c>
      <c r="B4">
        <v>5.3199999999999997E-2</v>
      </c>
      <c r="C4">
        <v>0.06</v>
      </c>
      <c r="D4">
        <v>3.6600000000000001E-2</v>
      </c>
      <c r="G4" t="s">
        <v>122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290</v>
      </c>
      <c r="Q4">
        <f t="shared" ref="Q4:Q67" si="0">B4-0.001</f>
        <v>5.2199999999999996E-2</v>
      </c>
      <c r="R4">
        <f t="shared" ref="R4:R67" si="1">C4-0.001</f>
        <v>5.8999999999999997E-2</v>
      </c>
      <c r="S4">
        <f t="shared" ref="S4:S67" si="2">D4-0.001</f>
        <v>3.56E-2</v>
      </c>
      <c r="U4" s="28"/>
      <c r="V4" s="28" t="s">
        <v>56</v>
      </c>
      <c r="W4" s="28" t="s">
        <v>45</v>
      </c>
      <c r="X4" s="28" t="s">
        <v>57</v>
      </c>
      <c r="Y4" s="28" t="s">
        <v>58</v>
      </c>
      <c r="Z4" s="28" t="s">
        <v>59</v>
      </c>
      <c r="AA4" s="28" t="s">
        <v>60</v>
      </c>
      <c r="AB4" s="30"/>
      <c r="AC4" s="30"/>
    </row>
    <row r="5" spans="1:29">
      <c r="A5" t="s">
        <v>291</v>
      </c>
      <c r="B5">
        <v>-1.2999999999999999E-2</v>
      </c>
      <c r="C5">
        <v>-3.1399999999999997E-2</v>
      </c>
      <c r="D5">
        <v>-2.7799999999999998E-2</v>
      </c>
      <c r="P5" t="s">
        <v>291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61</v>
      </c>
      <c r="V5" s="24">
        <v>-1.0448163447153797E-2</v>
      </c>
      <c r="W5">
        <v>1.9741779525096043E-3</v>
      </c>
      <c r="X5">
        <v>-5.2924121829402138</v>
      </c>
      <c r="Y5">
        <v>1.6169225763453056E-7</v>
      </c>
      <c r="Z5" s="24">
        <v>-1.4324182927474715E-2</v>
      </c>
      <c r="AA5" s="24">
        <v>-6.5721439668328784E-3</v>
      </c>
    </row>
    <row r="6" spans="1:29" ht="15.75" thickBot="1">
      <c r="A6" t="s">
        <v>292</v>
      </c>
      <c r="B6">
        <v>2.8199999999999999E-2</v>
      </c>
      <c r="C6">
        <v>1.89E-2</v>
      </c>
      <c r="D6">
        <v>7.4000000000000003E-3</v>
      </c>
      <c r="H6" s="15"/>
      <c r="P6" t="s">
        <v>292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62</v>
      </c>
      <c r="V6" s="27">
        <v>1.4878781541270254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1.4019095582885523</v>
      </c>
      <c r="AA6" s="27">
        <v>1.5738467499654984</v>
      </c>
    </row>
    <row r="7" spans="1:29">
      <c r="A7" t="s">
        <v>293</v>
      </c>
      <c r="B7">
        <v>-5.7999999999999996E-3</v>
      </c>
      <c r="C7">
        <v>6.9999999999999999E-4</v>
      </c>
      <c r="D7">
        <v>-6.3E-3</v>
      </c>
      <c r="H7" t="s">
        <v>103</v>
      </c>
      <c r="I7" t="s">
        <v>931</v>
      </c>
      <c r="J7" t="s">
        <v>932</v>
      </c>
      <c r="K7" t="s">
        <v>0</v>
      </c>
      <c r="L7" t="s">
        <v>98</v>
      </c>
      <c r="M7" t="s">
        <v>74</v>
      </c>
      <c r="P7" t="s">
        <v>293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294</v>
      </c>
      <c r="B8">
        <v>2.12E-2</v>
      </c>
      <c r="C8">
        <v>-2.46E-2</v>
      </c>
      <c r="D8">
        <v>2.6599999999999999E-2</v>
      </c>
      <c r="G8" t="s">
        <v>104</v>
      </c>
      <c r="H8">
        <v>0.86298367935064446</v>
      </c>
      <c r="I8">
        <v>-0.46499106867232204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3.8523766616866101E-2</v>
      </c>
      <c r="M8">
        <f>(K8-0.001)/L8</f>
        <v>0.29177251941597565</v>
      </c>
      <c r="P8" t="s">
        <v>294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295</v>
      </c>
      <c r="B9">
        <v>2.5399999999999999E-2</v>
      </c>
      <c r="C9">
        <v>9.7999999999999997E-3</v>
      </c>
      <c r="D9">
        <v>2.8899999999999999E-2</v>
      </c>
      <c r="P9" t="s">
        <v>295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296</v>
      </c>
      <c r="B10">
        <v>1.7999999999999999E-2</v>
      </c>
      <c r="C10">
        <v>1.77E-2</v>
      </c>
      <c r="D10">
        <v>1.3100000000000001E-2</v>
      </c>
      <c r="P10" t="s">
        <v>296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thickBot="1">
      <c r="A11" t="s">
        <v>297</v>
      </c>
      <c r="B11">
        <v>1.72E-2</v>
      </c>
      <c r="C11">
        <v>5.4000000000000003E-3</v>
      </c>
      <c r="D11">
        <v>9.4999999999999998E-3</v>
      </c>
      <c r="H11" t="s">
        <v>79</v>
      </c>
      <c r="P11" t="s">
        <v>297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935</v>
      </c>
    </row>
    <row r="12" spans="1:29">
      <c r="A12" t="s">
        <v>298</v>
      </c>
      <c r="B12">
        <v>3.8999999999999998E-3</v>
      </c>
      <c r="C12">
        <v>-5.6999999999999898E-3</v>
      </c>
      <c r="D12">
        <v>2.35E-2</v>
      </c>
      <c r="H12" t="s">
        <v>933</v>
      </c>
      <c r="I12" t="s">
        <v>931</v>
      </c>
      <c r="J12" t="s">
        <v>932</v>
      </c>
      <c r="P12" t="s">
        <v>298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56</v>
      </c>
      <c r="W12" s="28" t="s">
        <v>45</v>
      </c>
      <c r="X12" s="28" t="s">
        <v>57</v>
      </c>
      <c r="Y12" s="28" t="s">
        <v>58</v>
      </c>
      <c r="Z12" s="28" t="s">
        <v>59</v>
      </c>
      <c r="AA12" s="28" t="s">
        <v>60</v>
      </c>
      <c r="AB12" s="30"/>
      <c r="AC12" s="30"/>
    </row>
    <row r="13" spans="1:29">
      <c r="A13" t="s">
        <v>299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299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61</v>
      </c>
      <c r="V13" s="49">
        <v>2.4119401074289594E-3</v>
      </c>
      <c r="W13">
        <v>6.9726052146167701E-4</v>
      </c>
      <c r="X13">
        <v>3.4591663132924486</v>
      </c>
      <c r="Y13">
        <v>5.7468138983986E-4</v>
      </c>
      <c r="Z13" s="49">
        <v>1.04296758871118E-3</v>
      </c>
      <c r="AA13" s="49">
        <v>3.7809126261467386E-3</v>
      </c>
    </row>
    <row r="14" spans="1:29" ht="15.75" thickBot="1">
      <c r="A14" t="s">
        <v>300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300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62</v>
      </c>
      <c r="V14" s="27">
        <v>0.67308120913017322</v>
      </c>
      <c r="W14" s="27">
        <v>1.5464965609176694E-2</v>
      </c>
      <c r="X14" s="27">
        <v>43.522968375097854</v>
      </c>
      <c r="Y14" s="27">
        <v>2.6763428069996383E-201</v>
      </c>
      <c r="Z14" s="27">
        <v>0.64271793418453715</v>
      </c>
      <c r="AA14" s="27">
        <v>0.70344448407580928</v>
      </c>
    </row>
    <row r="15" spans="1:29">
      <c r="A15" t="s">
        <v>301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301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302</v>
      </c>
      <c r="B16">
        <v>-1.1599999999999999E-2</v>
      </c>
      <c r="C16">
        <v>-1.35E-2</v>
      </c>
      <c r="D16">
        <v>-9.7000000000000003E-3</v>
      </c>
      <c r="P16" t="s">
        <v>302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303</v>
      </c>
      <c r="B17">
        <v>2.9700000000000001E-2</v>
      </c>
      <c r="C17">
        <v>5.7699999999999897E-2</v>
      </c>
      <c r="D17">
        <v>1.54E-2</v>
      </c>
      <c r="P17" t="s">
        <v>303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304</v>
      </c>
      <c r="B18">
        <v>8.7999999999999901E-3</v>
      </c>
      <c r="C18">
        <v>1.54E-2</v>
      </c>
      <c r="D18">
        <v>0.01</v>
      </c>
      <c r="P18" t="s">
        <v>304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305</v>
      </c>
      <c r="B19">
        <v>2.8999999999999998E-3</v>
      </c>
      <c r="C19">
        <v>-3.0499999999999999E-2</v>
      </c>
      <c r="D19">
        <v>3.4999999999999901E-3</v>
      </c>
      <c r="P19" t="s">
        <v>305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306</v>
      </c>
      <c r="B20">
        <v>3.3999999999999998E-3</v>
      </c>
      <c r="C20">
        <v>-2.3999999999999998E-3</v>
      </c>
      <c r="D20">
        <v>1.4999999999999999E-2</v>
      </c>
      <c r="P20" t="s">
        <v>306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307</v>
      </c>
      <c r="B21">
        <v>3.8199999999999998E-2</v>
      </c>
      <c r="C21">
        <v>7.8100000000000003E-2</v>
      </c>
      <c r="D21">
        <v>1.29E-2</v>
      </c>
      <c r="P21" t="s">
        <v>307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308</v>
      </c>
      <c r="B22">
        <v>7.4000000000000003E-3</v>
      </c>
      <c r="C22">
        <v>2.4799999999999999E-2</v>
      </c>
      <c r="D22">
        <v>-3.4999999999999901E-3</v>
      </c>
      <c r="P22" t="s">
        <v>308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309</v>
      </c>
      <c r="B23">
        <v>-9.7999999999999997E-3</v>
      </c>
      <c r="C23">
        <v>-1.1299999999999999E-2</v>
      </c>
      <c r="D23">
        <v>-1.41E-2</v>
      </c>
      <c r="P23" t="s">
        <v>309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310</v>
      </c>
      <c r="B24">
        <v>3.4200000000000001E-2</v>
      </c>
      <c r="C24">
        <v>2.7199999999999998E-2</v>
      </c>
      <c r="D24">
        <v>1.9799999999999901E-2</v>
      </c>
      <c r="P24" t="s">
        <v>310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311</v>
      </c>
      <c r="B25">
        <v>-4.5999999999999999E-3</v>
      </c>
      <c r="C25">
        <v>-1.21999999999999E-2</v>
      </c>
      <c r="D25">
        <v>8.6E-3</v>
      </c>
      <c r="P25" t="s">
        <v>311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312</v>
      </c>
      <c r="B26">
        <v>-5.1599999999999903E-2</v>
      </c>
      <c r="C26">
        <v>-3.4200000000000001E-2</v>
      </c>
      <c r="D26">
        <v>-3.7900000000000003E-2</v>
      </c>
      <c r="P26" t="s">
        <v>312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313</v>
      </c>
      <c r="B27">
        <v>1.7399999999999999E-2</v>
      </c>
      <c r="C27">
        <v>9.4999999999999998E-3</v>
      </c>
      <c r="D27">
        <v>1.9199999999999998E-2</v>
      </c>
      <c r="P27" t="s">
        <v>313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314</v>
      </c>
      <c r="B28">
        <v>3.0599999999999999E-2</v>
      </c>
      <c r="C28">
        <v>4.6600000000000003E-2</v>
      </c>
      <c r="D28">
        <v>1.29E-2</v>
      </c>
      <c r="P28" t="s">
        <v>314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315</v>
      </c>
      <c r="B29">
        <v>3.1699999999999999E-2</v>
      </c>
      <c r="C29">
        <v>1.9099999999999999E-2</v>
      </c>
      <c r="D29">
        <v>4.4900000000000002E-2</v>
      </c>
      <c r="P29" t="s">
        <v>315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316</v>
      </c>
      <c r="B30">
        <v>2.9100000000000001E-2</v>
      </c>
      <c r="C30">
        <v>3.9100000000000003E-2</v>
      </c>
      <c r="D30">
        <v>2.5499999999999998E-2</v>
      </c>
      <c r="P30" t="s">
        <v>316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317</v>
      </c>
      <c r="B31">
        <v>3.1999999999999902E-3</v>
      </c>
      <c r="C31">
        <v>-1.39999999999999E-2</v>
      </c>
      <c r="D31">
        <v>-7.6E-3</v>
      </c>
      <c r="P31" t="s">
        <v>317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318</v>
      </c>
      <c r="B32">
        <v>1.33999999999999E-2</v>
      </c>
      <c r="C32">
        <v>3.27E-2</v>
      </c>
      <c r="D32">
        <v>5.7999999999999996E-3</v>
      </c>
      <c r="P32" t="s">
        <v>318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319</v>
      </c>
      <c r="B33">
        <v>1.0999999999999999E-2</v>
      </c>
      <c r="C33">
        <v>7.9000000000000008E-3</v>
      </c>
      <c r="D33">
        <v>3.8999999999999998E-3</v>
      </c>
      <c r="P33" t="s">
        <v>319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320</v>
      </c>
      <c r="B34">
        <v>-8.6E-3</v>
      </c>
      <c r="C34">
        <v>-2.5399999999999999E-2</v>
      </c>
      <c r="D34">
        <v>-2.8999999999999901E-2</v>
      </c>
      <c r="P34" t="s">
        <v>320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321</v>
      </c>
      <c r="B35">
        <v>-2.1299999999999899E-2</v>
      </c>
      <c r="C35">
        <v>-3.8100000000000002E-2</v>
      </c>
      <c r="D35">
        <v>-2.41E-2</v>
      </c>
      <c r="P35" t="s">
        <v>321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322</v>
      </c>
      <c r="B36">
        <v>2.4799999999999999E-2</v>
      </c>
      <c r="C36">
        <v>1.8700000000000001E-2</v>
      </c>
      <c r="D36">
        <v>1.37E-2</v>
      </c>
      <c r="P36" t="s">
        <v>322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323</v>
      </c>
      <c r="B37">
        <v>-5.2499999999999998E-2</v>
      </c>
      <c r="C37">
        <v>-3.3399999999999999E-2</v>
      </c>
      <c r="D37">
        <v>-4.7800000000000002E-2</v>
      </c>
      <c r="P37" t="s">
        <v>323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324</v>
      </c>
      <c r="B38">
        <v>-1.06E-2</v>
      </c>
      <c r="C38">
        <v>-1.5100000000000001E-2</v>
      </c>
      <c r="D38">
        <v>-2.0400000000000001E-2</v>
      </c>
      <c r="P38" t="s">
        <v>324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325</v>
      </c>
      <c r="B39">
        <v>-1.27999999999999E-2</v>
      </c>
      <c r="C39">
        <v>-1.77E-2</v>
      </c>
      <c r="D39">
        <v>-5.4999999999999997E-3</v>
      </c>
      <c r="P39" t="s">
        <v>325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326</v>
      </c>
      <c r="B40">
        <v>-7.4999999999999997E-2</v>
      </c>
      <c r="C40">
        <v>-5.0299999999999997E-2</v>
      </c>
      <c r="D40">
        <v>-6.7299999999999999E-2</v>
      </c>
      <c r="P40" t="s">
        <v>326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327</v>
      </c>
      <c r="B41">
        <v>-6.6E-3</v>
      </c>
      <c r="C41">
        <v>-3.9599999999999899E-2</v>
      </c>
      <c r="D41">
        <v>1.6E-2</v>
      </c>
      <c r="P41" t="s">
        <v>327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328</v>
      </c>
      <c r="B42">
        <v>4.3099999999999999E-2</v>
      </c>
      <c r="C42">
        <v>2.3300000000000001E-2</v>
      </c>
      <c r="D42">
        <v>7.4299999999999894E-2</v>
      </c>
      <c r="P42" t="s">
        <v>328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329</v>
      </c>
      <c r="B43">
        <v>1.7999999999999999E-2</v>
      </c>
      <c r="C43">
        <v>-8.6E-3</v>
      </c>
      <c r="D43">
        <v>-1.5100000000000001E-2</v>
      </c>
      <c r="P43" t="s">
        <v>329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330</v>
      </c>
      <c r="B44">
        <v>5.3E-3</v>
      </c>
      <c r="C44">
        <v>2.50999999999999E-2</v>
      </c>
      <c r="D44">
        <v>1.15E-2</v>
      </c>
      <c r="P44" t="s">
        <v>330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331</v>
      </c>
      <c r="B45">
        <v>8.5800000000000001E-2</v>
      </c>
      <c r="C45">
        <v>0.14299999999999999</v>
      </c>
      <c r="D45">
        <v>5.0099999999999999E-2</v>
      </c>
      <c r="P45" t="s">
        <v>331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332</v>
      </c>
      <c r="B46">
        <v>1.14E-2</v>
      </c>
      <c r="C46">
        <v>2.8999999999999998E-3</v>
      </c>
      <c r="D46">
        <v>-5.0000000000000001E-4</v>
      </c>
      <c r="P46" t="s">
        <v>332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333</v>
      </c>
      <c r="B47">
        <v>4.3799999999999999E-2</v>
      </c>
      <c r="C47">
        <v>2.7799999999999998E-2</v>
      </c>
      <c r="D47">
        <v>3.6299999999999999E-2</v>
      </c>
      <c r="P47" t="s">
        <v>333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334</v>
      </c>
      <c r="B48">
        <v>4.2099999999999999E-2</v>
      </c>
      <c r="C48">
        <v>6.8000000000000005E-2</v>
      </c>
      <c r="D48">
        <v>1.24E-2</v>
      </c>
      <c r="P48" t="s">
        <v>334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335</v>
      </c>
      <c r="B49">
        <v>-0.04</v>
      </c>
      <c r="C49">
        <v>-7.0000000000000007E-2</v>
      </c>
      <c r="D49">
        <v>-3.3599999999999998E-2</v>
      </c>
      <c r="P49" t="s">
        <v>335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336</v>
      </c>
      <c r="B50">
        <v>2.6800000000000001E-2</v>
      </c>
      <c r="C50">
        <v>2.5899999999999999E-2</v>
      </c>
      <c r="D50">
        <v>1.9900000000000001E-2</v>
      </c>
      <c r="P50" t="s">
        <v>336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337</v>
      </c>
      <c r="B51">
        <v>4.8899999999999999E-2</v>
      </c>
      <c r="C51">
        <v>9.9499999999999894E-2</v>
      </c>
      <c r="D51">
        <v>2.3699999999999999E-2</v>
      </c>
      <c r="P51" t="s">
        <v>337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338</v>
      </c>
      <c r="B52">
        <v>-5.7999999999999996E-3</v>
      </c>
      <c r="C52">
        <v>-5.7999999999999996E-3</v>
      </c>
      <c r="D52">
        <v>-1.18E-2</v>
      </c>
      <c r="P52" t="s">
        <v>338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339</v>
      </c>
      <c r="B53">
        <v>3.4299999999999997E-2</v>
      </c>
      <c r="C53">
        <v>4.3700000000000003E-2</v>
      </c>
      <c r="D53">
        <v>2.3300000000000001E-2</v>
      </c>
      <c r="P53" t="s">
        <v>339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340</v>
      </c>
      <c r="B54">
        <v>-2.6999999999999899E-2</v>
      </c>
      <c r="C54">
        <v>-0.04</v>
      </c>
      <c r="D54">
        <v>-2.6200000000000001E-2</v>
      </c>
      <c r="P54" t="s">
        <v>340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341</v>
      </c>
      <c r="B55">
        <v>7.3000000000000001E-3</v>
      </c>
      <c r="C55">
        <v>1.37E-2</v>
      </c>
      <c r="D55">
        <v>1.3100000000000001E-2</v>
      </c>
      <c r="P55" t="s">
        <v>341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342</v>
      </c>
      <c r="B56">
        <v>3.3799999999999997E-2</v>
      </c>
      <c r="C56">
        <v>2.3699999999999999E-2</v>
      </c>
      <c r="D56">
        <v>2.35E-2</v>
      </c>
      <c r="P56" t="s">
        <v>342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343</v>
      </c>
      <c r="B57">
        <v>-3.6599999999999903E-2</v>
      </c>
      <c r="C57">
        <v>5.0000000000000001E-4</v>
      </c>
      <c r="D57">
        <v>-6.7000000000000002E-3</v>
      </c>
      <c r="P57" t="s">
        <v>343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344</v>
      </c>
      <c r="B58">
        <v>-3.3599999999999998E-2</v>
      </c>
      <c r="C58">
        <v>-3.5900000000000001E-2</v>
      </c>
      <c r="D58">
        <v>-1.9900000000000001E-2</v>
      </c>
      <c r="P58" t="s">
        <v>344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345</v>
      </c>
      <c r="B59">
        <v>5.7999999999999996E-3</v>
      </c>
      <c r="C59">
        <v>-1.84E-2</v>
      </c>
      <c r="D59">
        <v>-8.6E-3</v>
      </c>
      <c r="P59" t="s">
        <v>345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346</v>
      </c>
      <c r="B60">
        <v>9.4799999999999995E-2</v>
      </c>
      <c r="C60">
        <v>0.1094</v>
      </c>
      <c r="D60">
        <v>4.8300000000000003E-2</v>
      </c>
      <c r="P60" t="s">
        <v>346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347</v>
      </c>
      <c r="B61">
        <v>2.7299999999999901E-2</v>
      </c>
      <c r="C61">
        <v>1.5800000000000002E-2</v>
      </c>
      <c r="D61">
        <v>7.6E-3</v>
      </c>
      <c r="P61" t="s">
        <v>347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348</v>
      </c>
      <c r="B62">
        <v>1.12E-2</v>
      </c>
      <c r="C62">
        <v>1.77E-2</v>
      </c>
      <c r="D62">
        <v>3.2000000000000001E-2</v>
      </c>
      <c r="P62" t="s">
        <v>348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349</v>
      </c>
      <c r="B63">
        <v>-2.24E-2</v>
      </c>
      <c r="C63">
        <v>-2.3199999999999998E-2</v>
      </c>
      <c r="D63">
        <v>1.6899999999999998E-2</v>
      </c>
      <c r="P63" t="s">
        <v>349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350</v>
      </c>
      <c r="B64">
        <v>1.7600000000000001E-2</v>
      </c>
      <c r="C64">
        <v>8.6E-3</v>
      </c>
      <c r="D64">
        <v>1.09E-2</v>
      </c>
      <c r="P64" t="s">
        <v>350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351</v>
      </c>
      <c r="B65">
        <v>4.4600000000000001E-2</v>
      </c>
      <c r="C65">
        <v>6.8900000000000003E-2</v>
      </c>
      <c r="D65">
        <v>2.7400000000000001E-2</v>
      </c>
      <c r="P65" t="s">
        <v>351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352</v>
      </c>
      <c r="B66">
        <v>8.6E-3</v>
      </c>
      <c r="C66">
        <v>1.89E-2</v>
      </c>
      <c r="D66">
        <v>2.1000000000000001E-2</v>
      </c>
      <c r="P66" t="s">
        <v>352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353</v>
      </c>
      <c r="B67">
        <v>5.8499999999999899E-2</v>
      </c>
      <c r="C67">
        <v>8.5500000000000007E-2</v>
      </c>
      <c r="D67">
        <v>6.3799999999999996E-2</v>
      </c>
      <c r="P67" t="s">
        <v>353</v>
      </c>
      <c r="Q67">
        <f t="shared" si="0"/>
        <v>5.7499999999999898E-2</v>
      </c>
      <c r="R67">
        <f t="shared" si="1"/>
        <v>8.4500000000000006E-2</v>
      </c>
      <c r="S67">
        <f t="shared" si="2"/>
        <v>6.2799999999999995E-2</v>
      </c>
    </row>
    <row r="68" spans="1:19">
      <c r="A68" t="s">
        <v>354</v>
      </c>
      <c r="B68">
        <v>-3.5099999999999999E-2</v>
      </c>
      <c r="C68">
        <v>-4.9399999999999999E-2</v>
      </c>
      <c r="D68">
        <v>-4.0500000000000001E-2</v>
      </c>
      <c r="P68" t="s">
        <v>354</v>
      </c>
      <c r="Q68">
        <f t="shared" ref="Q68:Q131" si="3">B68-0.001</f>
        <v>-3.61E-2</v>
      </c>
      <c r="R68">
        <f t="shared" ref="R68:R131" si="4">C68-0.001</f>
        <v>-5.04E-2</v>
      </c>
      <c r="S68">
        <f t="shared" ref="S68:S131" si="5">D68-0.001</f>
        <v>-4.1500000000000002E-2</v>
      </c>
    </row>
    <row r="69" spans="1:19">
      <c r="A69" t="s">
        <v>355</v>
      </c>
      <c r="B69">
        <v>-7.1999999999999998E-3</v>
      </c>
      <c r="C69">
        <v>-2.8199999999999999E-2</v>
      </c>
      <c r="D69">
        <v>4.7999999999999996E-3</v>
      </c>
      <c r="P69" t="s">
        <v>355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356</v>
      </c>
      <c r="B70">
        <v>-5.3800000000000001E-2</v>
      </c>
      <c r="C70">
        <v>-7.8200000000000006E-2</v>
      </c>
      <c r="D70">
        <v>-4.5899999999999899E-2</v>
      </c>
      <c r="P70" t="s">
        <v>356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357</v>
      </c>
      <c r="B71">
        <v>3.1E-2</v>
      </c>
      <c r="C71">
        <v>-1.13999999999999E-2</v>
      </c>
      <c r="D71">
        <v>2.79999999999999E-2</v>
      </c>
      <c r="P71" t="s">
        <v>357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358</v>
      </c>
      <c r="B72">
        <v>1.9900000000000001E-2</v>
      </c>
      <c r="C72">
        <v>4.1999999999999997E-3</v>
      </c>
      <c r="D72">
        <v>1.8100000000000002E-2</v>
      </c>
      <c r="P72" t="s">
        <v>358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359</v>
      </c>
      <c r="B73">
        <v>3.79999999999999E-3</v>
      </c>
      <c r="C73">
        <v>-2.76E-2</v>
      </c>
      <c r="D73">
        <v>1.4999999999999999E-2</v>
      </c>
      <c r="P73" t="s">
        <v>359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360</v>
      </c>
      <c r="B74">
        <v>-6.6699999999999995E-2</v>
      </c>
      <c r="C74">
        <v>-0.118699999999999</v>
      </c>
      <c r="D74">
        <v>-6.4799999999999996E-2</v>
      </c>
      <c r="P74" t="s">
        <v>360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361</v>
      </c>
      <c r="B75">
        <v>-6.4699999999999994E-2</v>
      </c>
      <c r="C75">
        <v>-0.12230000000000001</v>
      </c>
      <c r="D75">
        <v>-5.9900000000000002E-2</v>
      </c>
      <c r="P75" t="s">
        <v>361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362</v>
      </c>
      <c r="B76">
        <v>5.1799999999999902E-2</v>
      </c>
      <c r="C76">
        <v>6.3899999999999998E-2</v>
      </c>
      <c r="D76">
        <v>3.2799999999999899E-2</v>
      </c>
      <c r="P76" t="s">
        <v>362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363</v>
      </c>
      <c r="B77">
        <v>-2.3599999999999999E-2</v>
      </c>
      <c r="C77">
        <v>-4.4299999999999999E-2</v>
      </c>
      <c r="D77">
        <v>-4.1200000000000001E-2</v>
      </c>
      <c r="P77" t="s">
        <v>363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364</v>
      </c>
      <c r="B78">
        <v>5.6599999999999998E-2</v>
      </c>
      <c r="C78">
        <v>0.107</v>
      </c>
      <c r="D78">
        <v>3.95E-2</v>
      </c>
      <c r="P78" t="s">
        <v>364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365</v>
      </c>
      <c r="B79">
        <v>-3.27E-2</v>
      </c>
      <c r="C79">
        <v>-6.8599999999999994E-2</v>
      </c>
      <c r="D79">
        <v>-3.6799999999999999E-2</v>
      </c>
      <c r="P79" t="s">
        <v>365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366</v>
      </c>
      <c r="B80">
        <v>-1.9900000000000001E-2</v>
      </c>
      <c r="C80">
        <v>-8.09E-2</v>
      </c>
      <c r="D80">
        <v>-1.52E-2</v>
      </c>
      <c r="P80" t="s">
        <v>366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367</v>
      </c>
      <c r="B81">
        <v>-7.4999999999999997E-2</v>
      </c>
      <c r="C81">
        <v>-6.6199999999999995E-2</v>
      </c>
      <c r="D81">
        <v>-6.4699999999999994E-2</v>
      </c>
      <c r="P81" t="s">
        <v>367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368</v>
      </c>
      <c r="B82">
        <v>5.7499999999999898E-2</v>
      </c>
      <c r="C82">
        <v>3.7400000000000003E-2</v>
      </c>
      <c r="D82">
        <v>6.4899999999999999E-2</v>
      </c>
      <c r="P82" t="s">
        <v>368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369</v>
      </c>
      <c r="B83">
        <v>-4.8999999999999998E-3</v>
      </c>
      <c r="C83">
        <v>-3.85E-2</v>
      </c>
      <c r="D83">
        <v>7.7999999999999996E-3</v>
      </c>
      <c r="P83" t="s">
        <v>369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370</v>
      </c>
      <c r="B84">
        <v>-0.105</v>
      </c>
      <c r="C84">
        <v>-0.17449999999999999</v>
      </c>
      <c r="D84">
        <v>-8.0500000000000002E-2</v>
      </c>
      <c r="P84" t="s">
        <v>370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371</v>
      </c>
      <c r="B85">
        <v>-6.3899999999999998E-2</v>
      </c>
      <c r="C85">
        <v>-9.6799999999999997E-2</v>
      </c>
      <c r="D85">
        <v>-3.4299999999999997E-2</v>
      </c>
      <c r="P85" t="s">
        <v>371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372</v>
      </c>
      <c r="B86">
        <v>-5.21E-2</v>
      </c>
      <c r="C86">
        <v>-0.1157</v>
      </c>
      <c r="D86">
        <v>-0.04</v>
      </c>
      <c r="P86" t="s">
        <v>372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373</v>
      </c>
      <c r="B87">
        <v>7.4499999999999997E-2</v>
      </c>
      <c r="C87">
        <v>5.2199999999999899E-2</v>
      </c>
      <c r="D87">
        <v>7.8399999999999997E-2</v>
      </c>
      <c r="P87" t="s">
        <v>373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374</v>
      </c>
      <c r="B88">
        <v>5.0200000000000002E-2</v>
      </c>
      <c r="C88">
        <v>0.13089999999999999</v>
      </c>
      <c r="D88">
        <v>3.73E-2</v>
      </c>
      <c r="P88" t="s">
        <v>374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375</v>
      </c>
      <c r="B89">
        <v>4.7199999999999999E-2</v>
      </c>
      <c r="C89">
        <v>0.22719999999999901</v>
      </c>
      <c r="D89">
        <v>1.5699999999999999E-2</v>
      </c>
      <c r="P89" t="s">
        <v>375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376</v>
      </c>
      <c r="B90">
        <v>-1.81999999999999E-2</v>
      </c>
      <c r="C90">
        <v>-0.14529999999999901</v>
      </c>
      <c r="D90">
        <v>3.3E-3</v>
      </c>
      <c r="P90" t="s">
        <v>376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377</v>
      </c>
      <c r="B91">
        <v>5.0599999999999999E-2</v>
      </c>
      <c r="C91">
        <v>-1.1599999999999999E-2</v>
      </c>
      <c r="D91">
        <v>5.8400000000000001E-2</v>
      </c>
      <c r="P91" t="s">
        <v>377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378</v>
      </c>
      <c r="B92">
        <v>6.1400000000000003E-2</v>
      </c>
      <c r="C92">
        <v>5.7799999999999997E-2</v>
      </c>
      <c r="D92">
        <v>5.2600000000000001E-2</v>
      </c>
      <c r="P92" t="s">
        <v>378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379</v>
      </c>
      <c r="B93">
        <v>5.2199999999999899E-2</v>
      </c>
      <c r="C93">
        <v>0.1336</v>
      </c>
      <c r="D93">
        <v>3.0099999999999998E-2</v>
      </c>
      <c r="P93" t="s">
        <v>379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380</v>
      </c>
      <c r="B94">
        <v>1.7399999999999999E-2</v>
      </c>
      <c r="C94">
        <v>4.6699999999999998E-2</v>
      </c>
      <c r="D94">
        <v>7.7000000000000002E-3</v>
      </c>
      <c r="P94" t="s">
        <v>380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381</v>
      </c>
      <c r="B95">
        <v>4.4299999999999999E-2</v>
      </c>
      <c r="C95">
        <v>7.9799999999999996E-2</v>
      </c>
      <c r="D95">
        <v>2.87E-2</v>
      </c>
      <c r="P95" t="s">
        <v>381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382</v>
      </c>
      <c r="B96">
        <v>3.4299999999999997E-2</v>
      </c>
      <c r="C96">
        <v>3.5699999999999898E-2</v>
      </c>
      <c r="D96">
        <v>2.1899999999999999E-2</v>
      </c>
      <c r="P96" t="s">
        <v>382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383</v>
      </c>
      <c r="B97">
        <v>-3.6900000000000002E-2</v>
      </c>
      <c r="C97">
        <v>-5.7799999999999997E-2</v>
      </c>
      <c r="D97">
        <v>-3.2199999999999999E-2</v>
      </c>
      <c r="P97" t="s">
        <v>383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384</v>
      </c>
      <c r="B98">
        <v>2.7000000000000001E-3</v>
      </c>
      <c r="C98">
        <v>-2.9600000000000001E-2</v>
      </c>
      <c r="D98">
        <v>1.35E-2</v>
      </c>
      <c r="P98" t="s">
        <v>384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385</v>
      </c>
      <c r="B99">
        <v>-4.0999999999999898E-2</v>
      </c>
      <c r="C99">
        <v>-4.9699999999999897E-2</v>
      </c>
      <c r="D99">
        <v>-2.47E-2</v>
      </c>
      <c r="P99" t="s">
        <v>385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386</v>
      </c>
      <c r="B100">
        <v>4.2599999999999999E-2</v>
      </c>
      <c r="C100">
        <v>2.3699999999999999E-2</v>
      </c>
      <c r="D100">
        <v>1.01E-2</v>
      </c>
      <c r="P100" t="s">
        <v>386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387</v>
      </c>
      <c r="B101">
        <v>-4.7999999999999996E-3</v>
      </c>
      <c r="C101">
        <v>-3.6799999999999999E-2</v>
      </c>
      <c r="D101">
        <v>-1.8E-3</v>
      </c>
      <c r="P101" t="s">
        <v>387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388</v>
      </c>
      <c r="B102">
        <v>-4.0499999999999897E-2</v>
      </c>
      <c r="C102">
        <v>-9.1899999999999996E-2</v>
      </c>
      <c r="D102">
        <v>-1.95E-2</v>
      </c>
      <c r="P102" t="s">
        <v>388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389</v>
      </c>
      <c r="B103">
        <v>-8.99999999999999E-4</v>
      </c>
      <c r="C103">
        <v>-3.4500000000000003E-2</v>
      </c>
      <c r="D103">
        <v>7.3000000000000001E-3</v>
      </c>
      <c r="P103" t="s">
        <v>389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390</v>
      </c>
      <c r="B104">
        <v>9.0800000000000006E-2</v>
      </c>
      <c r="C104">
        <v>0.117799999999999</v>
      </c>
      <c r="D104">
        <v>7.8100000000000003E-2</v>
      </c>
      <c r="P104" t="s">
        <v>390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391</v>
      </c>
      <c r="B105">
        <v>2.7799999999999998E-2</v>
      </c>
      <c r="C105">
        <v>6.2199999999999998E-2</v>
      </c>
      <c r="D105">
        <v>8.3000000000000001E-3</v>
      </c>
      <c r="P105" t="s">
        <v>391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392</v>
      </c>
      <c r="B106">
        <v>3.1199999999999999E-2</v>
      </c>
      <c r="C106">
        <v>4.8300000000000003E-2</v>
      </c>
      <c r="D106">
        <v>2.1700000000000001E-2</v>
      </c>
      <c r="P106" t="s">
        <v>392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393</v>
      </c>
      <c r="B107">
        <v>8.9999999999999993E-3</v>
      </c>
      <c r="C107">
        <v>-1.6199999999999999E-2</v>
      </c>
      <c r="D107">
        <v>-1.1000000000000001E-3</v>
      </c>
      <c r="P107" t="s">
        <v>393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394</v>
      </c>
      <c r="B108">
        <v>5.7999999999999996E-3</v>
      </c>
      <c r="C108">
        <v>-2.24E-2</v>
      </c>
      <c r="D108">
        <v>6.4999999999999997E-3</v>
      </c>
      <c r="P108" t="s">
        <v>394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395</v>
      </c>
      <c r="B109">
        <v>1.55E-2</v>
      </c>
      <c r="C109">
        <v>-2.33999999999999E-2</v>
      </c>
      <c r="D109">
        <v>2.24E-2</v>
      </c>
      <c r="P109" t="s">
        <v>395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396</v>
      </c>
      <c r="B110">
        <v>-2.1399999999999999E-2</v>
      </c>
      <c r="C110">
        <v>-5.8999999999999997E-2</v>
      </c>
      <c r="D110">
        <v>-4.0000000000000001E-3</v>
      </c>
      <c r="P110" t="s">
        <v>396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397</v>
      </c>
      <c r="B111">
        <v>-4.8999999999999998E-3</v>
      </c>
      <c r="C111">
        <v>-4.7399999999999998E-2</v>
      </c>
      <c r="D111">
        <v>5.8999999999999999E-3</v>
      </c>
      <c r="P111" t="s">
        <v>397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398</v>
      </c>
      <c r="B112">
        <v>3.5499999999999997E-2</v>
      </c>
      <c r="C112">
        <v>4.3799999999999999E-2</v>
      </c>
      <c r="D112">
        <v>4.3899999999999897E-2</v>
      </c>
      <c r="P112" t="s">
        <v>398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399</v>
      </c>
      <c r="B113">
        <v>-7.9999999999999898E-3</v>
      </c>
      <c r="C113">
        <v>-4.3299999999999998E-2</v>
      </c>
      <c r="D113">
        <v>7.9000000000000008E-3</v>
      </c>
      <c r="P113" t="s">
        <v>399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400</v>
      </c>
      <c r="B114">
        <v>9.1999999999999998E-3</v>
      </c>
      <c r="C114">
        <v>-3.3799999999999997E-2</v>
      </c>
      <c r="D114">
        <v>2.27999999999999E-2</v>
      </c>
      <c r="P114" t="s">
        <v>400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401</v>
      </c>
      <c r="B115">
        <v>4.9700000000000001E-2</v>
      </c>
      <c r="C115">
        <v>9.4100000000000003E-2</v>
      </c>
      <c r="D115">
        <v>4.7899999999999998E-2</v>
      </c>
      <c r="P115" t="s">
        <v>401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402</v>
      </c>
      <c r="B116">
        <v>9.8999999999999904E-3</v>
      </c>
      <c r="C116">
        <v>-4.2900000000000001E-2</v>
      </c>
      <c r="D116">
        <v>1.77E-2</v>
      </c>
      <c r="P116" t="s">
        <v>402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403</v>
      </c>
      <c r="B117">
        <v>-2.84999999999999E-2</v>
      </c>
      <c r="C117">
        <v>-0.10879999999999999</v>
      </c>
      <c r="D117">
        <v>-1.24E-2</v>
      </c>
      <c r="P117" t="s">
        <v>403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404</v>
      </c>
      <c r="B118">
        <v>-4.4399999999999898E-2</v>
      </c>
      <c r="C118">
        <v>-9.2799999999999994E-2</v>
      </c>
      <c r="D118">
        <v>-3.6600000000000001E-2</v>
      </c>
      <c r="P118" t="s">
        <v>404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405</v>
      </c>
      <c r="B119">
        <v>-8.3999999999999995E-3</v>
      </c>
      <c r="C119">
        <v>-4.1500000000000002E-2</v>
      </c>
      <c r="D119">
        <v>4.0999999999999899E-3</v>
      </c>
      <c r="P119" t="s">
        <v>405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406</v>
      </c>
      <c r="B120">
        <v>-5.1599999999999903E-2</v>
      </c>
      <c r="C120">
        <v>-0.11459999999999999</v>
      </c>
      <c r="D120">
        <v>-2.1899999999999999E-2</v>
      </c>
      <c r="P120" t="s">
        <v>406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407</v>
      </c>
      <c r="B121">
        <v>-2.4299999999999999E-2</v>
      </c>
      <c r="C121">
        <v>-0.12889999999999999</v>
      </c>
      <c r="D121">
        <v>-9.8999999999999904E-3</v>
      </c>
      <c r="P121" t="s">
        <v>407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408</v>
      </c>
      <c r="B122">
        <v>-1.06E-2</v>
      </c>
      <c r="C122">
        <v>-8.2100000000000006E-2</v>
      </c>
      <c r="D122">
        <v>3.5999999999999999E-3</v>
      </c>
      <c r="P122" t="s">
        <v>408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409</v>
      </c>
      <c r="B123">
        <v>5.6899999999999999E-2</v>
      </c>
      <c r="C123">
        <v>0.20960000000000001</v>
      </c>
      <c r="D123">
        <v>2.1299999999999999E-2</v>
      </c>
      <c r="P123" t="s">
        <v>409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410</v>
      </c>
      <c r="B124">
        <v>-3.1199999999999999E-2</v>
      </c>
      <c r="C124">
        <v>-7.0800000000000002E-2</v>
      </c>
      <c r="D124">
        <v>-3.3599999999999998E-2</v>
      </c>
      <c r="P124" t="s">
        <v>410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411</v>
      </c>
      <c r="B125">
        <v>5.4300000000000001E-2</v>
      </c>
      <c r="C125">
        <v>0.11</v>
      </c>
      <c r="D125">
        <v>4.2500000000000003E-2</v>
      </c>
      <c r="P125" t="s">
        <v>411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412</v>
      </c>
      <c r="B126">
        <v>-1.79999999999999E-3</v>
      </c>
      <c r="C126">
        <v>-5.67E-2</v>
      </c>
      <c r="D126">
        <v>-3.0000000000000001E-3</v>
      </c>
      <c r="P126" t="s">
        <v>412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413</v>
      </c>
      <c r="B127">
        <v>-0.12189999999999999</v>
      </c>
      <c r="C127">
        <v>-0.23169999999999999</v>
      </c>
      <c r="D127">
        <v>-8.8900000000000007E-2</v>
      </c>
      <c r="P127" t="s">
        <v>413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414</v>
      </c>
      <c r="B128">
        <v>1.2500000000000001E-2</v>
      </c>
      <c r="C128">
        <v>-5.9499999999999997E-2</v>
      </c>
      <c r="D128">
        <v>2.6499999999999999E-2</v>
      </c>
      <c r="P128" t="s">
        <v>414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415</v>
      </c>
      <c r="B129">
        <v>4.5999999999999999E-3</v>
      </c>
      <c r="C129">
        <v>0.1263</v>
      </c>
      <c r="D129">
        <v>-1.89E-2</v>
      </c>
      <c r="P129" t="s">
        <v>415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416</v>
      </c>
      <c r="B130">
        <v>1.1000000000000001E-3</v>
      </c>
      <c r="C130">
        <v>-2.3300000000000001E-2</v>
      </c>
      <c r="D130">
        <v>-1E-3</v>
      </c>
      <c r="P130" t="s">
        <v>416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417</v>
      </c>
      <c r="B131">
        <v>-2.2499999999999999E-2</v>
      </c>
      <c r="C131">
        <v>7.09999999999999E-3</v>
      </c>
      <c r="D131">
        <v>-1.83E-2</v>
      </c>
      <c r="P131" t="s">
        <v>417</v>
      </c>
      <c r="Q131">
        <f t="shared" si="3"/>
        <v>-2.35E-2</v>
      </c>
      <c r="R131">
        <f t="shared" si="4"/>
        <v>6.09999999999999E-3</v>
      </c>
      <c r="S131">
        <f t="shared" si="5"/>
        <v>-1.9300000000000001E-2</v>
      </c>
    </row>
    <row r="132" spans="1:19">
      <c r="A132" t="s">
        <v>418</v>
      </c>
      <c r="B132">
        <v>-4.5400000000000003E-2</v>
      </c>
      <c r="C132">
        <v>-0.10339999999999901</v>
      </c>
      <c r="D132">
        <v>-4.3899999999999897E-2</v>
      </c>
      <c r="P132" t="s">
        <v>418</v>
      </c>
      <c r="Q132">
        <f t="shared" ref="Q132:Q195" si="6">B132-0.001</f>
        <v>-4.6400000000000004E-2</v>
      </c>
      <c r="R132">
        <f t="shared" ref="R132:R195" si="7">C132-0.001</f>
        <v>-0.10439999999999901</v>
      </c>
      <c r="S132">
        <f t="shared" ref="S132:S195" si="8">D132-0.001</f>
        <v>-4.4899999999999898E-2</v>
      </c>
    </row>
    <row r="133" spans="1:19">
      <c r="A133" t="s">
        <v>419</v>
      </c>
      <c r="B133">
        <v>-3.9299999999999898E-2</v>
      </c>
      <c r="C133">
        <v>-8.1000000000000003E-2</v>
      </c>
      <c r="D133">
        <v>-2.7300000000000001E-2</v>
      </c>
      <c r="P133" t="s">
        <v>419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420</v>
      </c>
      <c r="B134">
        <v>-2.23E-2</v>
      </c>
      <c r="C134">
        <v>-5.2600000000000001E-2</v>
      </c>
      <c r="D134">
        <v>-1.55E-2</v>
      </c>
      <c r="P134" t="s">
        <v>420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421</v>
      </c>
      <c r="B135">
        <v>-7.3499999999999996E-2</v>
      </c>
      <c r="C135">
        <v>-0.10779999999999899</v>
      </c>
      <c r="D135">
        <v>-6.7199999999999996E-2</v>
      </c>
      <c r="P135" t="s">
        <v>421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422</v>
      </c>
      <c r="B136">
        <v>-8.7499999999999994E-2</v>
      </c>
      <c r="C136">
        <v>-0.1193</v>
      </c>
      <c r="D136">
        <v>-8.5800000000000001E-2</v>
      </c>
      <c r="P136" t="s">
        <v>422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423</v>
      </c>
      <c r="B137">
        <v>-0.1096</v>
      </c>
      <c r="C137">
        <v>-0.14080000000000001</v>
      </c>
      <c r="D137">
        <v>-0.10299999999999999</v>
      </c>
      <c r="P137" t="s">
        <v>423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424</v>
      </c>
      <c r="B138">
        <v>0.1661</v>
      </c>
      <c r="C138">
        <v>0.14549999999999999</v>
      </c>
      <c r="D138">
        <v>0.18590000000000001</v>
      </c>
      <c r="P138" t="s">
        <v>424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425</v>
      </c>
      <c r="B139">
        <v>-3.9699999999999999E-2</v>
      </c>
      <c r="C139">
        <v>-2.9600000000000001E-2</v>
      </c>
      <c r="D139">
        <v>-4.2999999999999997E-2</v>
      </c>
      <c r="P139" t="s">
        <v>425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426</v>
      </c>
      <c r="B140">
        <v>-2.75E-2</v>
      </c>
      <c r="C140">
        <v>-4.8899999999999999E-2</v>
      </c>
      <c r="D140">
        <v>-1.41999999999999E-2</v>
      </c>
      <c r="P140" t="s">
        <v>426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427</v>
      </c>
      <c r="B141">
        <v>0.1424</v>
      </c>
      <c r="C141">
        <v>0.30930000000000002</v>
      </c>
      <c r="D141">
        <v>0.1026</v>
      </c>
      <c r="P141" t="s">
        <v>427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428</v>
      </c>
      <c r="B142">
        <v>5.9899999999999898E-2</v>
      </c>
      <c r="C142">
        <v>6.9099999999999995E-2</v>
      </c>
      <c r="D142">
        <v>5.5399999999999998E-2</v>
      </c>
      <c r="P142" t="s">
        <v>428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429</v>
      </c>
      <c r="B143">
        <v>3.0700000000000002E-2</v>
      </c>
      <c r="C143">
        <v>7.7899999999999997E-2</v>
      </c>
      <c r="D143">
        <v>5.4999999999999997E-3</v>
      </c>
      <c r="P143" t="s">
        <v>429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430</v>
      </c>
      <c r="B144">
        <v>4.6699999999999998E-2</v>
      </c>
      <c r="C144">
        <v>4.5100000000000001E-2</v>
      </c>
      <c r="D144">
        <v>4.7300000000000002E-2</v>
      </c>
      <c r="P144" t="s">
        <v>430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431</v>
      </c>
      <c r="B145">
        <v>5.6300000000000003E-2</v>
      </c>
      <c r="C145">
        <v>5.6399999999999999E-2</v>
      </c>
      <c r="D145">
        <v>6.1699999999999998E-2</v>
      </c>
      <c r="P145" t="s">
        <v>431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432</v>
      </c>
      <c r="B146">
        <v>5.2400000000000002E-2</v>
      </c>
      <c r="C146">
        <v>6.0599999999999897E-2</v>
      </c>
      <c r="D146">
        <v>4.2000000000000003E-2</v>
      </c>
      <c r="P146" t="s">
        <v>432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433</v>
      </c>
      <c r="B147">
        <v>-6.1100000000000002E-2</v>
      </c>
      <c r="C147">
        <v>-8.0799999999999997E-2</v>
      </c>
      <c r="D147">
        <v>-5.0199999999999897E-2</v>
      </c>
      <c r="P147" t="s">
        <v>433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434</v>
      </c>
      <c r="B148">
        <v>-2.3699999999999999E-2</v>
      </c>
      <c r="C148">
        <v>-4.5199999999999997E-2</v>
      </c>
      <c r="D148">
        <v>-1.47E-2</v>
      </c>
      <c r="P148" t="s">
        <v>434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435</v>
      </c>
      <c r="B149">
        <v>-3.73E-2</v>
      </c>
      <c r="C149">
        <v>-3.6499999999999998E-2</v>
      </c>
      <c r="D149">
        <v>-3.2599999999999997E-2</v>
      </c>
      <c r="P149" t="s">
        <v>435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436</v>
      </c>
      <c r="B150">
        <v>5.8699999999999898E-2</v>
      </c>
      <c r="C150">
        <v>2.23E-2</v>
      </c>
      <c r="D150">
        <v>4.4400000000000002E-2</v>
      </c>
      <c r="P150" t="s">
        <v>436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437</v>
      </c>
      <c r="B151">
        <v>3.0499999999999999E-2</v>
      </c>
      <c r="C151">
        <v>3.2300000000000002E-2</v>
      </c>
      <c r="D151">
        <v>2.0099999999999899E-2</v>
      </c>
      <c r="P151" t="s">
        <v>437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438</v>
      </c>
      <c r="B152">
        <v>-1.12E-2</v>
      </c>
      <c r="C152">
        <v>-1.61E-2</v>
      </c>
      <c r="D152">
        <v>-5.0000000000000001E-4</v>
      </c>
      <c r="P152" t="s">
        <v>438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439</v>
      </c>
      <c r="B153">
        <v>0.1263</v>
      </c>
      <c r="C153">
        <v>9.9000000000000005E-2</v>
      </c>
      <c r="D153">
        <v>0.1007</v>
      </c>
      <c r="P153" t="s">
        <v>439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440</v>
      </c>
      <c r="B154">
        <v>6.6E-3</v>
      </c>
      <c r="C154">
        <v>2.4299999999999999E-2</v>
      </c>
      <c r="D154">
        <v>-1.2E-2</v>
      </c>
      <c r="P154" t="s">
        <v>440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441</v>
      </c>
      <c r="B155">
        <v>2.7199999999999998E-2</v>
      </c>
      <c r="C155">
        <v>5.0000000000000001E-3</v>
      </c>
      <c r="D155">
        <v>3.1699999999999999E-2</v>
      </c>
      <c r="P155" t="s">
        <v>441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442</v>
      </c>
      <c r="B156">
        <v>-1.0699999999999999E-2</v>
      </c>
      <c r="C156">
        <v>-3.2099999999999997E-2</v>
      </c>
      <c r="D156">
        <v>5.8999999999999999E-3</v>
      </c>
      <c r="P156" t="s">
        <v>442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443</v>
      </c>
      <c r="B157">
        <v>-9.7000000000000003E-3</v>
      </c>
      <c r="C157">
        <v>1.8E-3</v>
      </c>
      <c r="D157">
        <v>1.1000000000000001E-3</v>
      </c>
      <c r="P157" t="s">
        <v>443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444</v>
      </c>
      <c r="B158">
        <v>4.48E-2</v>
      </c>
      <c r="C158">
        <v>7.0099999999999996E-2</v>
      </c>
      <c r="D158">
        <v>4.07E-2</v>
      </c>
      <c r="P158" t="s">
        <v>444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445</v>
      </c>
      <c r="B159">
        <v>-6.0000000000000001E-3</v>
      </c>
      <c r="C159">
        <v>-9.7999999999999997E-3</v>
      </c>
      <c r="D159">
        <v>2.8999999999999998E-3</v>
      </c>
      <c r="P159" t="s">
        <v>445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446</v>
      </c>
      <c r="B160">
        <v>-1.4E-3</v>
      </c>
      <c r="C160">
        <v>-1.54E-2</v>
      </c>
      <c r="D160">
        <v>1.03E-2</v>
      </c>
      <c r="P160" t="s">
        <v>446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447</v>
      </c>
      <c r="B161">
        <v>2.5100000000000001E-2</v>
      </c>
      <c r="C161">
        <v>1.9099999999999999E-2</v>
      </c>
      <c r="D161">
        <v>3.6299999999999999E-2</v>
      </c>
      <c r="P161" t="s">
        <v>447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448</v>
      </c>
      <c r="B162">
        <v>-2.01E-2</v>
      </c>
      <c r="C162">
        <v>-3.5200000000000002E-2</v>
      </c>
      <c r="D162">
        <v>-1.16999999999999E-2</v>
      </c>
      <c r="P162" t="s">
        <v>448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449</v>
      </c>
      <c r="B163">
        <v>7.6E-3</v>
      </c>
      <c r="C163">
        <v>-2.9999999999999997E-4</v>
      </c>
      <c r="D163">
        <v>6.7000000000000002E-3</v>
      </c>
      <c r="P163" t="s">
        <v>449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450</v>
      </c>
      <c r="B164">
        <v>6.0499999999999998E-2</v>
      </c>
      <c r="C164">
        <v>5.1200000000000002E-2</v>
      </c>
      <c r="D164">
        <v>5.57E-2</v>
      </c>
      <c r="P164" t="s">
        <v>450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451</v>
      </c>
      <c r="B165">
        <v>-3.6900000000000002E-2</v>
      </c>
      <c r="C165">
        <v>-9.3899999999999997E-2</v>
      </c>
      <c r="D165">
        <v>-1.8100000000000002E-2</v>
      </c>
      <c r="P165" t="s">
        <v>451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452</v>
      </c>
      <c r="B166">
        <v>-1.5900000000000001E-2</v>
      </c>
      <c r="C166">
        <v>-1.8100000000000002E-2</v>
      </c>
      <c r="D166">
        <v>-1.52E-2</v>
      </c>
      <c r="P166" t="s">
        <v>452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453</v>
      </c>
      <c r="B167">
        <v>-9.9000000000000008E-3</v>
      </c>
      <c r="C167">
        <v>-2.7699999999999999E-2</v>
      </c>
      <c r="D167">
        <v>-1.0800000000000001E-2</v>
      </c>
      <c r="P167" t="s">
        <v>453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454</v>
      </c>
      <c r="B168">
        <v>5.3E-3</v>
      </c>
      <c r="C168">
        <v>-4.1200000000000001E-2</v>
      </c>
      <c r="D168">
        <v>1.44E-2</v>
      </c>
      <c r="P168" t="s">
        <v>454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455</v>
      </c>
      <c r="B169">
        <v>-1.07999999999999E-2</v>
      </c>
      <c r="C169">
        <v>-2.41E-2</v>
      </c>
      <c r="D169">
        <v>-2.3999999999999998E-3</v>
      </c>
      <c r="P169" t="s">
        <v>455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456</v>
      </c>
      <c r="B170">
        <v>5.11E-2</v>
      </c>
      <c r="C170">
        <v>5.8999999999999997E-2</v>
      </c>
      <c r="D170">
        <v>4.1399999999999999E-2</v>
      </c>
      <c r="P170" t="s">
        <v>456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457</v>
      </c>
      <c r="B171">
        <v>-1.2699999999999999E-2</v>
      </c>
      <c r="C171">
        <v>-2.2499999999999999E-2</v>
      </c>
      <c r="D171">
        <v>-1.18999999999999E-2</v>
      </c>
      <c r="P171" t="s">
        <v>457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458</v>
      </c>
      <c r="B172">
        <v>-1.3100000000000001E-2</v>
      </c>
      <c r="C172">
        <v>2.2200000000000001E-2</v>
      </c>
      <c r="D172">
        <v>-2.8399999999999901E-2</v>
      </c>
      <c r="P172" t="s">
        <v>458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459</v>
      </c>
      <c r="B173">
        <v>1.5999999999999901E-3</v>
      </c>
      <c r="C173">
        <v>-2.2200000000000001E-2</v>
      </c>
      <c r="D173">
        <v>6.8999999999999999E-3</v>
      </c>
      <c r="P173" t="s">
        <v>459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460</v>
      </c>
      <c r="B174">
        <v>-3.8899999999999997E-2</v>
      </c>
      <c r="C174">
        <v>-5.2499999999999998E-2</v>
      </c>
      <c r="D174">
        <v>-3.0800000000000001E-2</v>
      </c>
      <c r="P174" t="s">
        <v>460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461</v>
      </c>
      <c r="B175">
        <v>4.4999999999999998E-2</v>
      </c>
      <c r="C175">
        <v>3.6299999999999999E-2</v>
      </c>
      <c r="D175">
        <v>3.02999999999999E-2</v>
      </c>
      <c r="P175" t="s">
        <v>461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462</v>
      </c>
      <c r="B176">
        <v>7.6E-3</v>
      </c>
      <c r="C176">
        <v>1.2999999999999999E-3</v>
      </c>
      <c r="D176">
        <v>1.0500000000000001E-2</v>
      </c>
      <c r="P176" t="s">
        <v>462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463</v>
      </c>
      <c r="B177">
        <v>-5.5199999999999999E-2</v>
      </c>
      <c r="C177">
        <v>-5.7999999999999899E-2</v>
      </c>
      <c r="D177">
        <v>-5.2999999999999999E-2</v>
      </c>
      <c r="P177" t="s">
        <v>463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464</v>
      </c>
      <c r="B178">
        <v>-9.1999999999999998E-3</v>
      </c>
      <c r="C178">
        <v>-4.7300000000000002E-2</v>
      </c>
      <c r="D178">
        <v>-4.3E-3</v>
      </c>
      <c r="P178" t="s">
        <v>464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465</v>
      </c>
      <c r="B179">
        <v>3.3799999999999997E-2</v>
      </c>
      <c r="C179">
        <v>3.61E-2</v>
      </c>
      <c r="D179">
        <v>2.8199999999999999E-2</v>
      </c>
      <c r="P179" t="s">
        <v>465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466</v>
      </c>
      <c r="B180">
        <v>8.4199999999999997E-2</v>
      </c>
      <c r="C180">
        <v>0.1153</v>
      </c>
      <c r="D180">
        <v>5.1499999999999997E-2</v>
      </c>
      <c r="P180" t="s">
        <v>466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467</v>
      </c>
      <c r="B181">
        <v>2.2700000000000001E-2</v>
      </c>
      <c r="C181">
        <v>1.66E-2</v>
      </c>
      <c r="D181">
        <v>1.13999999999999E-2</v>
      </c>
      <c r="P181" t="s">
        <v>467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468</v>
      </c>
      <c r="B182">
        <v>-1.1499999999999899E-2</v>
      </c>
      <c r="C182">
        <v>-4.5499999999999999E-2</v>
      </c>
      <c r="D182">
        <v>-1.4800000000000001E-2</v>
      </c>
      <c r="P182" t="s">
        <v>468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469</v>
      </c>
      <c r="B183">
        <v>5.67E-2</v>
      </c>
      <c r="C183">
        <v>5.3899999999999899E-2</v>
      </c>
      <c r="D183">
        <v>3.15E-2</v>
      </c>
      <c r="P183" t="s">
        <v>469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470</v>
      </c>
      <c r="B184">
        <v>4.3099999999999999E-2</v>
      </c>
      <c r="C184">
        <v>4.0999999999999898E-2</v>
      </c>
      <c r="D184">
        <v>3.4500000000000003E-2</v>
      </c>
      <c r="P184" t="s">
        <v>470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471</v>
      </c>
      <c r="B185">
        <v>-8.0999999999999996E-3</v>
      </c>
      <c r="C185">
        <v>8.1999999999999903E-3</v>
      </c>
      <c r="D185">
        <v>1.8100000000000002E-2</v>
      </c>
      <c r="P185" t="s">
        <v>471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472</v>
      </c>
      <c r="B186">
        <v>-0.1123</v>
      </c>
      <c r="C186">
        <v>-0.1081</v>
      </c>
      <c r="D186">
        <v>-7.9100000000000004E-2</v>
      </c>
      <c r="P186" t="s">
        <v>472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473</v>
      </c>
      <c r="B187">
        <v>3.4099999999999998E-2</v>
      </c>
      <c r="C187">
        <v>2.7300000000000001E-2</v>
      </c>
      <c r="D187">
        <v>3.3500000000000002E-2</v>
      </c>
      <c r="P187" t="s">
        <v>473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474</v>
      </c>
      <c r="B188">
        <v>1.66E-2</v>
      </c>
      <c r="C188">
        <v>-2.12E-2</v>
      </c>
      <c r="D188">
        <v>1.0500000000000001E-2</v>
      </c>
      <c r="P188" t="s">
        <v>474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475</v>
      </c>
      <c r="B189">
        <v>0.05</v>
      </c>
      <c r="C189">
        <v>9.6199999999999994E-2</v>
      </c>
      <c r="D189">
        <v>4.3499999999999997E-2</v>
      </c>
      <c r="P189" t="s">
        <v>475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476</v>
      </c>
      <c r="B190">
        <v>-2.8299999999999999E-2</v>
      </c>
      <c r="C190">
        <v>-2.7199999999999998E-2</v>
      </c>
      <c r="D190">
        <v>-1.23E-2</v>
      </c>
      <c r="P190" t="s">
        <v>476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477</v>
      </c>
      <c r="B191">
        <v>6.4899999999999999E-2</v>
      </c>
      <c r="C191">
        <v>8.4699999999999998E-2</v>
      </c>
      <c r="D191">
        <v>4.5999999999999999E-2</v>
      </c>
      <c r="P191" t="s">
        <v>477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478</v>
      </c>
      <c r="B192">
        <v>7.4000000000000003E-3</v>
      </c>
      <c r="C192">
        <v>5.3E-3</v>
      </c>
      <c r="D192">
        <v>9.2999999999999992E-3</v>
      </c>
      <c r="P192" t="s">
        <v>478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479</v>
      </c>
      <c r="B193">
        <v>-1.3899999999999999E-2</v>
      </c>
      <c r="C193">
        <v>-2.4799999999999999E-2</v>
      </c>
      <c r="D193">
        <v>-1.04E-2</v>
      </c>
      <c r="P193" t="s">
        <v>479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480</v>
      </c>
      <c r="B194">
        <v>4.6600000000000003E-2</v>
      </c>
      <c r="C194">
        <v>5.74E-2</v>
      </c>
      <c r="D194">
        <v>5.1799999999999999E-2</v>
      </c>
      <c r="P194" t="s">
        <v>480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481</v>
      </c>
      <c r="B195">
        <v>1.58999999999999E-2</v>
      </c>
      <c r="C195">
        <v>2.75E-2</v>
      </c>
      <c r="D195">
        <v>1.6199999999999999E-2</v>
      </c>
      <c r="P195" t="s">
        <v>481</v>
      </c>
      <c r="Q195">
        <f t="shared" si="6"/>
        <v>1.4899999999999899E-2</v>
      </c>
      <c r="R195">
        <f t="shared" si="7"/>
        <v>2.6499999999999999E-2</v>
      </c>
      <c r="S195">
        <f t="shared" si="8"/>
        <v>1.5199999999999998E-2</v>
      </c>
    </row>
    <row r="196" spans="1:19">
      <c r="A196" t="s">
        <v>482</v>
      </c>
      <c r="B196">
        <v>6.3E-2</v>
      </c>
      <c r="C196">
        <v>8.3099999999999993E-2</v>
      </c>
      <c r="D196">
        <v>4.87E-2</v>
      </c>
      <c r="P196" t="s">
        <v>482</v>
      </c>
      <c r="Q196">
        <f t="shared" ref="Q196:Q259" si="9">B196-0.001</f>
        <v>6.2E-2</v>
      </c>
      <c r="R196">
        <f t="shared" ref="R196:R259" si="10">C196-0.001</f>
        <v>8.2099999999999992E-2</v>
      </c>
      <c r="S196">
        <f t="shared" ref="S196:S259" si="11">D196-0.001</f>
        <v>4.7699999999999999E-2</v>
      </c>
    </row>
    <row r="197" spans="1:19">
      <c r="A197" t="s">
        <v>483</v>
      </c>
      <c r="B197">
        <v>1.0000000000000099E-4</v>
      </c>
      <c r="C197">
        <v>-3.95E-2</v>
      </c>
      <c r="D197">
        <v>9.7000000000000003E-3</v>
      </c>
      <c r="P197" t="s">
        <v>483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484</v>
      </c>
      <c r="B198">
        <v>-7.2300000000000003E-2</v>
      </c>
      <c r="C198">
        <v>-0.13059999999999999</v>
      </c>
      <c r="D198">
        <v>-4.6600000000000003E-2</v>
      </c>
      <c r="P198" t="s">
        <v>484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485</v>
      </c>
      <c r="B199">
        <v>6.2E-2</v>
      </c>
      <c r="C199">
        <v>2.1999999999999999E-2</v>
      </c>
      <c r="D199">
        <v>5.8899999999999897E-2</v>
      </c>
      <c r="P199" t="s">
        <v>485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486</v>
      </c>
      <c r="B200">
        <v>2.7400000000000001E-2</v>
      </c>
      <c r="C200">
        <v>2.5000000000000001E-2</v>
      </c>
      <c r="D200">
        <v>7.6E-3</v>
      </c>
      <c r="P200" t="s">
        <v>486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487</v>
      </c>
      <c r="B201">
        <v>6.3099999999999906E-2</v>
      </c>
      <c r="C201">
        <v>3.9599999999999899E-2</v>
      </c>
      <c r="D201">
        <v>6.6000000000000003E-2</v>
      </c>
      <c r="P201" t="s">
        <v>487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488</v>
      </c>
      <c r="B202">
        <v>-3.29999999999999E-3</v>
      </c>
      <c r="C202">
        <v>-5.1499999999999997E-2</v>
      </c>
      <c r="D202">
        <v>4.5199999999999997E-2</v>
      </c>
      <c r="P202" t="s">
        <v>488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489</v>
      </c>
      <c r="B203">
        <v>-0.1169</v>
      </c>
      <c r="C203">
        <v>-3.6999999999999998E-2</v>
      </c>
      <c r="D203">
        <v>-0.11109999999999901</v>
      </c>
      <c r="P203" t="s">
        <v>489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490</v>
      </c>
      <c r="B204">
        <v>5.2299999999999999E-2</v>
      </c>
      <c r="C204">
        <v>6.8499999999999894E-2</v>
      </c>
      <c r="D204">
        <v>7.0499999999999993E-2</v>
      </c>
      <c r="P204" t="s">
        <v>490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491</v>
      </c>
      <c r="B205">
        <v>6.0699999999999997E-2</v>
      </c>
      <c r="C205">
        <v>8.1000000000000003E-2</v>
      </c>
      <c r="D205">
        <v>4.7800000000000002E-2</v>
      </c>
      <c r="P205" t="s">
        <v>491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492</v>
      </c>
      <c r="B206">
        <v>3.6700000000000003E-2</v>
      </c>
      <c r="C206">
        <v>4.7199999999999999E-2</v>
      </c>
      <c r="D206">
        <v>3.2599999999999997E-2</v>
      </c>
      <c r="P206" t="s">
        <v>492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493</v>
      </c>
      <c r="B207">
        <v>7.0199999999999999E-2</v>
      </c>
      <c r="C207">
        <v>0.1023</v>
      </c>
      <c r="D207">
        <v>3.7100000000000001E-2</v>
      </c>
      <c r="P207" t="s">
        <v>493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494</v>
      </c>
      <c r="B208">
        <v>2.4400000000000002E-2</v>
      </c>
      <c r="C208">
        <v>2.56999999999999E-2</v>
      </c>
      <c r="D208">
        <v>1.13999999999999E-2</v>
      </c>
      <c r="P208" t="s">
        <v>494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495</v>
      </c>
      <c r="B209">
        <v>2.9399999999999999E-2</v>
      </c>
      <c r="C209">
        <v>2.5000000000000001E-3</v>
      </c>
      <c r="D209">
        <v>7.4999999999999997E-3</v>
      </c>
      <c r="P209" t="s">
        <v>495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496</v>
      </c>
      <c r="B210">
        <v>2.01E-2</v>
      </c>
      <c r="C210">
        <v>-1.7100000000000001E-2</v>
      </c>
      <c r="D210">
        <v>1.03E-2</v>
      </c>
      <c r="P210" t="s">
        <v>496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497</v>
      </c>
      <c r="B211">
        <v>0.1055</v>
      </c>
      <c r="C211">
        <v>8.8999999999999999E-3</v>
      </c>
      <c r="D211">
        <v>6.4500000000000002E-2</v>
      </c>
      <c r="P211" t="s">
        <v>497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498</v>
      </c>
      <c r="B212">
        <v>-3.2099999999999997E-2</v>
      </c>
      <c r="C212">
        <v>-2.5000000000000001E-3</v>
      </c>
      <c r="D212">
        <v>-6.1999999999999998E-3</v>
      </c>
      <c r="P212" t="s">
        <v>498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499</v>
      </c>
      <c r="B213">
        <v>-0.04</v>
      </c>
      <c r="C213">
        <v>-7.1999999999999998E-3</v>
      </c>
      <c r="D213">
        <v>-1.37E-2</v>
      </c>
      <c r="P213" t="s">
        <v>499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500</v>
      </c>
      <c r="B214">
        <v>1.6400000000000001E-2</v>
      </c>
      <c r="C214">
        <v>-8.9999999999999998E-4</v>
      </c>
      <c r="D214">
        <v>1.8200000000000001E-2</v>
      </c>
      <c r="P214" t="s">
        <v>500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501</v>
      </c>
      <c r="B215">
        <v>4.7699999999999999E-2</v>
      </c>
      <c r="C215">
        <v>0.1024</v>
      </c>
      <c r="D215">
        <v>2.47E-2</v>
      </c>
      <c r="P215" t="s">
        <v>501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502</v>
      </c>
      <c r="B216">
        <v>-1.02999999999999E-2</v>
      </c>
      <c r="C216">
        <v>-1.3899999999999999E-2</v>
      </c>
      <c r="D216">
        <v>3.2000000000000002E-3</v>
      </c>
      <c r="P216" t="s">
        <v>502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503</v>
      </c>
      <c r="B217">
        <v>1.26E-2</v>
      </c>
      <c r="C217">
        <v>1E-3</v>
      </c>
      <c r="D217">
        <v>1.11E-2</v>
      </c>
      <c r="P217" t="s">
        <v>503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504</v>
      </c>
      <c r="B218">
        <v>-1.0099999999999901E-2</v>
      </c>
      <c r="C218">
        <v>4.3499999999999997E-2</v>
      </c>
      <c r="D218">
        <v>6.7999999999999996E-3</v>
      </c>
      <c r="P218" t="s">
        <v>504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505</v>
      </c>
      <c r="B219">
        <v>-3.0000000000000001E-3</v>
      </c>
      <c r="C219">
        <v>4.6100000000000002E-2</v>
      </c>
      <c r="D219">
        <v>-1.46E-2</v>
      </c>
      <c r="P219" t="s">
        <v>505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506</v>
      </c>
      <c r="B220">
        <v>-5.7599999999999998E-2</v>
      </c>
      <c r="C220">
        <v>-7.85E-2</v>
      </c>
      <c r="D220">
        <v>-3.0099999999999998E-2</v>
      </c>
      <c r="P220" t="s">
        <v>506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507</v>
      </c>
      <c r="B221">
        <v>-5.9299999999999999E-2</v>
      </c>
      <c r="C221">
        <v>-9.98E-2</v>
      </c>
      <c r="D221">
        <v>-8.0999999999999996E-3</v>
      </c>
      <c r="P221" t="s">
        <v>507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508</v>
      </c>
      <c r="B222">
        <v>6.13E-2</v>
      </c>
      <c r="C222">
        <v>3.5299999999999998E-2</v>
      </c>
      <c r="D222">
        <v>4.6399999999999997E-2</v>
      </c>
      <c r="P222" t="s">
        <v>508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509</v>
      </c>
      <c r="B223">
        <v>4.4299999999999999E-2</v>
      </c>
      <c r="C223">
        <v>3.6900000000000002E-2</v>
      </c>
      <c r="D223">
        <v>4.3999999999999997E-2</v>
      </c>
      <c r="P223" t="s">
        <v>509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510</v>
      </c>
      <c r="B224">
        <v>-2.7799999999999998E-2</v>
      </c>
      <c r="C224">
        <v>-5.2499999999999998E-2</v>
      </c>
      <c r="D224">
        <v>-2.1600000000000001E-2</v>
      </c>
      <c r="P224" t="s">
        <v>510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511</v>
      </c>
      <c r="B225">
        <v>-2.4400000000000002E-2</v>
      </c>
      <c r="C225">
        <v>-4.82E-2</v>
      </c>
      <c r="D225">
        <v>1.0800000000000001E-2</v>
      </c>
      <c r="P225" t="s">
        <v>511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512</v>
      </c>
      <c r="B226">
        <v>-4.9399999999999999E-2</v>
      </c>
      <c r="C226">
        <v>-9.2799999999999994E-2</v>
      </c>
      <c r="D226">
        <v>-1.6299999999999999E-2</v>
      </c>
      <c r="P226" t="s">
        <v>512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513</v>
      </c>
      <c r="B227">
        <v>-8.8999999999999999E-3</v>
      </c>
      <c r="C227">
        <v>-4.4199999999999899E-2</v>
      </c>
      <c r="D227">
        <v>2.1600000000000001E-2</v>
      </c>
      <c r="P227" t="s">
        <v>513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514</v>
      </c>
      <c r="B228">
        <v>4.3999999999999997E-2</v>
      </c>
      <c r="C228">
        <v>5.7500000000000002E-2</v>
      </c>
      <c r="D228">
        <v>3.4700000000000002E-2</v>
      </c>
      <c r="P228" t="s">
        <v>514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515</v>
      </c>
      <c r="B229">
        <v>-2.93E-2</v>
      </c>
      <c r="C229">
        <v>-6.5099999999999894E-2</v>
      </c>
      <c r="D229">
        <v>-2.23E-2</v>
      </c>
      <c r="P229" t="s">
        <v>515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516</v>
      </c>
      <c r="B230">
        <v>-2.1299999999999999E-2</v>
      </c>
      <c r="C230">
        <v>-9.0499999999999997E-2</v>
      </c>
      <c r="D230">
        <v>-1.6999999999999999E-3</v>
      </c>
      <c r="P230" t="s">
        <v>516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517</v>
      </c>
      <c r="B231">
        <v>-2.1399999999999898E-2</v>
      </c>
      <c r="C231">
        <v>-6.7000000000000004E-2</v>
      </c>
      <c r="D231">
        <v>-7.9000000000000008E-3</v>
      </c>
      <c r="P231" t="s">
        <v>517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518</v>
      </c>
      <c r="B232">
        <v>0.11899999999999999</v>
      </c>
      <c r="C232">
        <v>0.1069</v>
      </c>
      <c r="D232">
        <v>0.1138</v>
      </c>
      <c r="P232" t="s">
        <v>518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519</v>
      </c>
      <c r="B233">
        <v>1.7999999999999999E-2</v>
      </c>
      <c r="C233">
        <v>-3.4500000000000003E-2</v>
      </c>
      <c r="D233">
        <v>1.3299999999999999E-2</v>
      </c>
      <c r="P233" t="s">
        <v>519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520</v>
      </c>
      <c r="B234">
        <v>0.11890000000000001</v>
      </c>
      <c r="C234">
        <v>0.1371</v>
      </c>
      <c r="D234">
        <v>9.4E-2</v>
      </c>
      <c r="P234" t="s">
        <v>520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521</v>
      </c>
      <c r="B235">
        <v>5.2999999999999999E-2</v>
      </c>
      <c r="C235">
        <v>1.6299999999999999E-2</v>
      </c>
      <c r="D235">
        <v>4.4400000000000002E-2</v>
      </c>
      <c r="P235" t="s">
        <v>521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522</v>
      </c>
      <c r="B236">
        <v>1.2200000000000001E-2</v>
      </c>
      <c r="C236">
        <v>3.8300000000000001E-2</v>
      </c>
      <c r="D236">
        <v>4.0999999999999899E-3</v>
      </c>
      <c r="P236" t="s">
        <v>522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523</v>
      </c>
      <c r="B237">
        <v>4.2900000000000001E-2</v>
      </c>
      <c r="C237">
        <v>7.0099999999999996E-2</v>
      </c>
      <c r="D237">
        <v>2.8199999999999999E-2</v>
      </c>
      <c r="P237" t="s">
        <v>523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524</v>
      </c>
      <c r="B238">
        <v>3.2099999999999997E-2</v>
      </c>
      <c r="C238">
        <v>-0.02</v>
      </c>
      <c r="D238">
        <v>2.2499999999999999E-2</v>
      </c>
      <c r="P238" t="s">
        <v>524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525</v>
      </c>
      <c r="B239">
        <v>3.4500000000000003E-2</v>
      </c>
      <c r="C239">
        <v>2.1899999999999999E-2</v>
      </c>
      <c r="D239">
        <v>2.9499999999999998E-2</v>
      </c>
      <c r="P239" t="s">
        <v>525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526</v>
      </c>
      <c r="B240">
        <v>7.3799999999999893E-2</v>
      </c>
      <c r="C240">
        <v>6.5599999999999895E-2</v>
      </c>
      <c r="D240">
        <v>6.3899999999999998E-2</v>
      </c>
      <c r="P240" t="s">
        <v>526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527</v>
      </c>
      <c r="B241">
        <v>1.21E-2</v>
      </c>
      <c r="C241">
        <v>8.8099999999999998E-2</v>
      </c>
      <c r="D241">
        <v>-2.33999999999999E-2</v>
      </c>
      <c r="P241" t="s">
        <v>527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528</v>
      </c>
      <c r="B242">
        <v>3.7399999999999899E-2</v>
      </c>
      <c r="C242">
        <v>4.7699999999999902E-2</v>
      </c>
      <c r="D242">
        <v>1.5699999999999999E-2</v>
      </c>
      <c r="P242" t="s">
        <v>528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529</v>
      </c>
      <c r="B243">
        <v>-3.3299999999999899E-2</v>
      </c>
      <c r="C243">
        <v>-2.6800000000000001E-2</v>
      </c>
      <c r="D243">
        <v>-2.1899999999999999E-2</v>
      </c>
      <c r="P243" t="s">
        <v>529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530</v>
      </c>
      <c r="B244">
        <v>2.5999999999999999E-3</v>
      </c>
      <c r="C244">
        <v>-6.8999999999999999E-3</v>
      </c>
      <c r="D244">
        <v>0.01</v>
      </c>
      <c r="P244" t="s">
        <v>530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531</v>
      </c>
      <c r="B245">
        <v>1.67E-2</v>
      </c>
      <c r="C245">
        <v>3.5299999999999998E-2</v>
      </c>
      <c r="D245">
        <v>3.4500000000000003E-2</v>
      </c>
      <c r="P245" t="s">
        <v>531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532</v>
      </c>
      <c r="B246">
        <v>-2.6800000000000001E-2</v>
      </c>
      <c r="C246">
        <v>-1.8200000000000001E-2</v>
      </c>
      <c r="D246">
        <v>8.8000000000000005E-3</v>
      </c>
      <c r="P246" t="s">
        <v>532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533</v>
      </c>
      <c r="B247">
        <v>2.86E-2</v>
      </c>
      <c r="C247">
        <v>4.8499999999999897E-2</v>
      </c>
      <c r="D247">
        <v>1.3100000000000001E-2</v>
      </c>
      <c r="P247" t="s">
        <v>533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534</v>
      </c>
      <c r="B248">
        <v>-1.04999999999999E-2</v>
      </c>
      <c r="C248">
        <v>2.0000000000000001E-4</v>
      </c>
      <c r="D248">
        <v>-2.79999999999999E-2</v>
      </c>
      <c r="P248" t="s">
        <v>534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535</v>
      </c>
      <c r="B249">
        <v>-1.1599999999999999E-2</v>
      </c>
      <c r="C249">
        <v>-1.8200000000000001E-2</v>
      </c>
      <c r="D249">
        <v>1.1999999999999999E-3</v>
      </c>
      <c r="P249" t="s">
        <v>535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536</v>
      </c>
      <c r="B250">
        <v>-4.1099999999999998E-2</v>
      </c>
      <c r="C250">
        <v>-5.7000000000000002E-2</v>
      </c>
      <c r="D250">
        <v>-3.39E-2</v>
      </c>
      <c r="P250" t="s">
        <v>536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537</v>
      </c>
      <c r="B251">
        <v>1.3599999999999999E-2</v>
      </c>
      <c r="C251">
        <v>-8.6E-3</v>
      </c>
      <c r="D251">
        <v>-7.4000000000000003E-3</v>
      </c>
      <c r="P251" t="s">
        <v>537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538</v>
      </c>
      <c r="B252">
        <v>3.0000000000000001E-3</v>
      </c>
      <c r="C252">
        <v>-9.2999999999999992E-3</v>
      </c>
      <c r="D252">
        <v>4.5999999999999999E-3</v>
      </c>
      <c r="P252" t="s">
        <v>538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539</v>
      </c>
      <c r="B253">
        <v>-5.1899999999999898E-2</v>
      </c>
      <c r="C253">
        <v>-8.7499999999999994E-2</v>
      </c>
      <c r="D253">
        <v>-3.2000000000000001E-2</v>
      </c>
      <c r="P253" t="s">
        <v>539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540</v>
      </c>
      <c r="B254">
        <v>2.5700000000000001E-2</v>
      </c>
      <c r="C254">
        <v>1.32E-2</v>
      </c>
      <c r="D254">
        <v>5.4100000000000002E-2</v>
      </c>
      <c r="P254" t="s">
        <v>540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541</v>
      </c>
      <c r="B255">
        <v>-1.9199999999999998E-2</v>
      </c>
      <c r="C255">
        <v>-6.9199999999999998E-2</v>
      </c>
      <c r="D255">
        <v>-1E-4</v>
      </c>
      <c r="P255" t="s">
        <v>541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542</v>
      </c>
      <c r="B256">
        <v>0.11109999999999901</v>
      </c>
      <c r="C256">
        <v>0.13539999999999999</v>
      </c>
      <c r="D256">
        <v>7.5499999999999998E-2</v>
      </c>
      <c r="P256" t="s">
        <v>542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543</v>
      </c>
      <c r="B257">
        <v>5.9999999999999897E-4</v>
      </c>
      <c r="C257">
        <v>-3.3500000000000002E-2</v>
      </c>
      <c r="D257">
        <v>1.83E-2</v>
      </c>
      <c r="P257" t="s">
        <v>543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544</v>
      </c>
      <c r="B258">
        <v>1.6000000000000001E-3</v>
      </c>
      <c r="C258">
        <v>-3.39E-2</v>
      </c>
      <c r="D258">
        <v>2.53E-2</v>
      </c>
      <c r="P258" t="s">
        <v>544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545</v>
      </c>
      <c r="B259">
        <v>-1.03E-2</v>
      </c>
      <c r="C259">
        <v>-4.5899999999999899E-2</v>
      </c>
      <c r="D259">
        <v>1.06E-2</v>
      </c>
      <c r="P259" t="s">
        <v>545</v>
      </c>
      <c r="Q259">
        <f t="shared" si="9"/>
        <v>-1.1300000000000001E-2</v>
      </c>
      <c r="R259">
        <f t="shared" si="10"/>
        <v>-4.68999999999999E-2</v>
      </c>
      <c r="S259">
        <f t="shared" si="11"/>
        <v>9.6000000000000009E-3</v>
      </c>
    </row>
    <row r="260" spans="1:19">
      <c r="A260" t="s">
        <v>546</v>
      </c>
      <c r="B260">
        <v>2.4799999999999999E-2</v>
      </c>
      <c r="C260">
        <v>9.8999999999999904E-3</v>
      </c>
      <c r="D260">
        <v>2.41E-2</v>
      </c>
      <c r="P260" t="s">
        <v>546</v>
      </c>
      <c r="Q260">
        <f t="shared" ref="Q260:Q323" si="12">B260-0.001</f>
        <v>2.3799999999999998E-2</v>
      </c>
      <c r="R260">
        <f t="shared" ref="R260:R323" si="13">C260-0.001</f>
        <v>8.8999999999999913E-3</v>
      </c>
      <c r="S260">
        <f t="shared" ref="S260:S323" si="14">D260-0.001</f>
        <v>2.3099999999999999E-2</v>
      </c>
    </row>
    <row r="261" spans="1:19">
      <c r="A261" t="s">
        <v>547</v>
      </c>
      <c r="B261">
        <v>8.6400000000000005E-2</v>
      </c>
      <c r="C261">
        <v>0.1651</v>
      </c>
      <c r="D261">
        <v>4.1200000000000001E-2</v>
      </c>
      <c r="P261" t="s">
        <v>547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548</v>
      </c>
      <c r="B262">
        <v>1.7999999999999999E-2</v>
      </c>
      <c r="C262">
        <v>2.5000000000000001E-3</v>
      </c>
      <c r="D262">
        <v>2.92E-2</v>
      </c>
      <c r="P262" t="s">
        <v>548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549</v>
      </c>
      <c r="B263">
        <v>-2.1999999999999902E-3</v>
      </c>
      <c r="C263">
        <v>-9.1999999999999998E-3</v>
      </c>
      <c r="D263">
        <v>3.4200000000000001E-2</v>
      </c>
      <c r="P263" t="s">
        <v>549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550</v>
      </c>
      <c r="B264">
        <v>-2.3999999999999898E-3</v>
      </c>
      <c r="C264">
        <v>-3.3099999999999997E-2</v>
      </c>
      <c r="D264">
        <v>-3.8999999999999998E-3</v>
      </c>
      <c r="P264" t="s">
        <v>550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551</v>
      </c>
      <c r="B265">
        <v>5.7500000000000002E-2</v>
      </c>
      <c r="C265">
        <v>-6.4000000000000003E-3</v>
      </c>
      <c r="D265">
        <v>6.8499999999999894E-2</v>
      </c>
      <c r="P265" t="s">
        <v>551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552</v>
      </c>
      <c r="B266">
        <v>1.8200000000000001E-2</v>
      </c>
      <c r="C266">
        <v>-1.2E-2</v>
      </c>
      <c r="D266">
        <v>2.8799999999999999E-2</v>
      </c>
      <c r="P266" t="s">
        <v>552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553</v>
      </c>
      <c r="B267">
        <v>-1.1999999999999999E-3</v>
      </c>
      <c r="C267">
        <v>2.7699999999999999E-2</v>
      </c>
      <c r="D267">
        <v>-3.0499999999999999E-2</v>
      </c>
      <c r="P267" t="s">
        <v>553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554</v>
      </c>
      <c r="B268">
        <v>-4.7000000000000002E-3</v>
      </c>
      <c r="C268">
        <v>-3.1800000000000002E-2</v>
      </c>
      <c r="D268">
        <v>9.8999999999999904E-3</v>
      </c>
      <c r="P268" t="s">
        <v>554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555</v>
      </c>
      <c r="B269">
        <v>-3.9399999999999998E-2</v>
      </c>
      <c r="C269">
        <v>-8.8099999999999998E-2</v>
      </c>
      <c r="D269">
        <v>-2.1899999999999999E-2</v>
      </c>
      <c r="P269" t="s">
        <v>555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556</v>
      </c>
      <c r="B270">
        <v>4.6699999999999901E-2</v>
      </c>
      <c r="C270">
        <v>5.0000000000000001E-4</v>
      </c>
      <c r="D270">
        <v>5.16E-2</v>
      </c>
      <c r="P270" t="s">
        <v>556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557</v>
      </c>
      <c r="B271">
        <v>7.0900000000000005E-2</v>
      </c>
      <c r="C271">
        <v>6.7500000000000004E-2</v>
      </c>
      <c r="D271">
        <v>7.2599999999999998E-2</v>
      </c>
      <c r="P271" t="s">
        <v>557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558</v>
      </c>
      <c r="B272">
        <v>4.53E-2</v>
      </c>
      <c r="C272">
        <v>3.49E-2</v>
      </c>
      <c r="D272">
        <v>4.7199999999999999E-2</v>
      </c>
      <c r="P272" t="s">
        <v>558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559</v>
      </c>
      <c r="B273">
        <v>1.21E-2</v>
      </c>
      <c r="C273">
        <v>-2.04999999999999E-2</v>
      </c>
      <c r="D273">
        <v>1.4800000000000001E-2</v>
      </c>
      <c r="P273" t="s">
        <v>559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560</v>
      </c>
      <c r="B274">
        <v>7.6600000000000001E-2</v>
      </c>
      <c r="C274">
        <v>4.58E-2</v>
      </c>
      <c r="D274">
        <v>8.0799999999999997E-2</v>
      </c>
      <c r="P274" t="s">
        <v>560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561</v>
      </c>
      <c r="B275">
        <v>5.4799999999999897E-2</v>
      </c>
      <c r="C275">
        <v>2.63E-2</v>
      </c>
      <c r="D275">
        <v>6.2600000000000003E-2</v>
      </c>
      <c r="P275" t="s">
        <v>561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562</v>
      </c>
      <c r="B276">
        <v>-7.9000000000000008E-3</v>
      </c>
      <c r="C276">
        <v>-7.9000000000000008E-3</v>
      </c>
      <c r="D276">
        <v>-2.8999999999999998E-3</v>
      </c>
      <c r="P276" t="s">
        <v>562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563</v>
      </c>
      <c r="B277">
        <v>5.11E-2</v>
      </c>
      <c r="C277">
        <v>4.9599999999999998E-2</v>
      </c>
      <c r="D277">
        <v>5.3800000000000001E-2</v>
      </c>
      <c r="P277" t="s">
        <v>563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564</v>
      </c>
      <c r="B278">
        <v>1.55E-2</v>
      </c>
      <c r="C278">
        <v>-4.2000000000000003E-2</v>
      </c>
      <c r="D278">
        <v>5.0199999999999897E-2</v>
      </c>
      <c r="P278" t="s">
        <v>564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565</v>
      </c>
      <c r="B279">
        <v>-5.9299999999999999E-2</v>
      </c>
      <c r="C279">
        <v>-0.1188</v>
      </c>
      <c r="D279">
        <v>-1.35E-2</v>
      </c>
      <c r="P279" t="s">
        <v>565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566</v>
      </c>
      <c r="B280">
        <v>6.5299999999999997E-2</v>
      </c>
      <c r="C280">
        <v>0.11119999999999999</v>
      </c>
      <c r="D280">
        <v>6.4600000000000005E-2</v>
      </c>
      <c r="P280" t="s">
        <v>566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567</v>
      </c>
      <c r="B281">
        <v>-8.1499999999999906E-2</v>
      </c>
      <c r="C281">
        <v>-1.2E-2</v>
      </c>
      <c r="D281">
        <v>-8.72E-2</v>
      </c>
      <c r="P281" t="s">
        <v>567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568</v>
      </c>
      <c r="B282">
        <v>5.1200000000000002E-2</v>
      </c>
      <c r="C282">
        <v>1.9099999999999999E-2</v>
      </c>
      <c r="D282">
        <v>5.8700000000000002E-2</v>
      </c>
      <c r="P282" t="s">
        <v>568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569</v>
      </c>
      <c r="B283">
        <v>1.5599999999999999E-2</v>
      </c>
      <c r="C283">
        <v>4.4999999999999997E-3</v>
      </c>
      <c r="D283">
        <v>1.43E-2</v>
      </c>
      <c r="P283" t="s">
        <v>569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570</v>
      </c>
      <c r="B284">
        <v>-2.7799999999999998E-2</v>
      </c>
      <c r="C284">
        <v>-5.2199999999999899E-2</v>
      </c>
      <c r="D284">
        <v>-2.3099999999999999E-2</v>
      </c>
      <c r="P284" t="s">
        <v>570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571</v>
      </c>
      <c r="B285">
        <v>0.12889999999999999</v>
      </c>
      <c r="C285">
        <v>0.1416</v>
      </c>
      <c r="D285">
        <v>0.1103</v>
      </c>
      <c r="P285" t="s">
        <v>571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572</v>
      </c>
      <c r="B286">
        <v>4.8199999999999903E-2</v>
      </c>
      <c r="C286">
        <v>8.2699999999999996E-2</v>
      </c>
      <c r="D286">
        <v>6.3E-3</v>
      </c>
      <c r="P286" t="s">
        <v>572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573</v>
      </c>
      <c r="B287">
        <v>2.10999999999999E-2</v>
      </c>
      <c r="C287">
        <v>3.0000000000000001E-3</v>
      </c>
      <c r="D287">
        <v>1.9599999999999999E-2</v>
      </c>
      <c r="P287" t="s">
        <v>573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574</v>
      </c>
      <c r="B288">
        <v>-1.6699999999999899E-2</v>
      </c>
      <c r="C288">
        <v>-4.9500000000000002E-2</v>
      </c>
      <c r="D288">
        <v>-2.8399999999999901E-2</v>
      </c>
      <c r="P288" t="s">
        <v>574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575</v>
      </c>
      <c r="B289">
        <v>4.8999999999999998E-3</v>
      </c>
      <c r="C289">
        <v>1.2500000000000001E-2</v>
      </c>
      <c r="D289">
        <v>1.01E-2</v>
      </c>
      <c r="P289" t="s">
        <v>575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576</v>
      </c>
      <c r="B290">
        <v>4.4199999999999899E-2</v>
      </c>
      <c r="C290">
        <v>2.1700000000000001E-2</v>
      </c>
      <c r="D290">
        <v>5.4800000000000001E-2</v>
      </c>
      <c r="P290" t="s">
        <v>576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577</v>
      </c>
      <c r="B291">
        <v>4.3099999999999999E-2</v>
      </c>
      <c r="C291">
        <v>3.04E-2</v>
      </c>
      <c r="D291">
        <v>2.79999999999999E-2</v>
      </c>
      <c r="P291" t="s">
        <v>577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578</v>
      </c>
      <c r="B292">
        <v>3.9899999999999998E-2</v>
      </c>
      <c r="C292">
        <v>3.32E-2</v>
      </c>
      <c r="D292">
        <v>3.6200000000000003E-2</v>
      </c>
      <c r="P292" t="s">
        <v>578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579</v>
      </c>
      <c r="B293">
        <v>-2.1399999999999999E-2</v>
      </c>
      <c r="C293">
        <v>-0.03</v>
      </c>
      <c r="D293">
        <v>-1.5900000000000001E-2</v>
      </c>
      <c r="P293" t="s">
        <v>579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580</v>
      </c>
      <c r="B294">
        <v>-0.22639999999999999</v>
      </c>
      <c r="C294">
        <v>-0.23899999999999999</v>
      </c>
      <c r="D294">
        <v>-0.1371</v>
      </c>
      <c r="P294" t="s">
        <v>580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581</v>
      </c>
      <c r="B295">
        <v>-7.4199999999999905E-2</v>
      </c>
      <c r="C295">
        <v>-5.9400000000000001E-2</v>
      </c>
      <c r="D295">
        <v>-7.5700000000000003E-2</v>
      </c>
      <c r="P295" t="s">
        <v>581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582</v>
      </c>
      <c r="B296">
        <v>7.1999999999999995E-2</v>
      </c>
      <c r="C296">
        <v>2.0199999999999999E-2</v>
      </c>
      <c r="D296">
        <v>3.8899999999999997E-2</v>
      </c>
      <c r="P296" t="s">
        <v>582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583</v>
      </c>
      <c r="B297">
        <v>4.4999999999999998E-2</v>
      </c>
      <c r="C297">
        <v>7.4200000000000002E-2</v>
      </c>
      <c r="D297">
        <v>7.4499999999999997E-2</v>
      </c>
      <c r="P297" t="s">
        <v>583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584</v>
      </c>
      <c r="B298">
        <v>5.21E-2</v>
      </c>
      <c r="C298">
        <v>8.7499999999999994E-2</v>
      </c>
      <c r="D298">
        <v>2.04999999999999E-2</v>
      </c>
      <c r="P298" t="s">
        <v>584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585</v>
      </c>
      <c r="B299">
        <v>-1.83E-2</v>
      </c>
      <c r="C299">
        <v>2E-3</v>
      </c>
      <c r="D299">
        <v>-1.8700000000000001E-2</v>
      </c>
      <c r="P299" t="s">
        <v>585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586</v>
      </c>
      <c r="B300">
        <v>1.0200000000000001E-2</v>
      </c>
      <c r="C300">
        <v>-3.2000000000000002E-3</v>
      </c>
      <c r="D300">
        <v>1.5100000000000001E-2</v>
      </c>
      <c r="P300" t="s">
        <v>586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587</v>
      </c>
      <c r="B301">
        <v>2.2000000000000001E-3</v>
      </c>
      <c r="C301">
        <v>-3.0499999999999999E-2</v>
      </c>
      <c r="D301">
        <v>1.5699999999999999E-2</v>
      </c>
      <c r="P301" t="s">
        <v>587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588</v>
      </c>
      <c r="B302">
        <v>5.28E-2</v>
      </c>
      <c r="C302">
        <v>9.6799999999999997E-2</v>
      </c>
      <c r="D302">
        <v>1.52E-2</v>
      </c>
      <c r="P302" t="s">
        <v>588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589</v>
      </c>
      <c r="B303">
        <v>-7.4000000000000003E-3</v>
      </c>
      <c r="C303">
        <v>-2.41E-2</v>
      </c>
      <c r="D303">
        <v>5.1999999999999998E-3</v>
      </c>
      <c r="P303" t="s">
        <v>589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590</v>
      </c>
      <c r="B304">
        <v>-2.7199999999999998E-2</v>
      </c>
      <c r="C304">
        <v>-3.7100000000000001E-2</v>
      </c>
      <c r="D304">
        <v>-1.01E-2</v>
      </c>
      <c r="P304" t="s">
        <v>590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591</v>
      </c>
      <c r="B305">
        <v>3.9199999999999999E-2</v>
      </c>
      <c r="C305">
        <v>2.0099999999999899E-2</v>
      </c>
      <c r="D305">
        <v>2.63E-2</v>
      </c>
      <c r="P305" t="s">
        <v>591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592</v>
      </c>
      <c r="B306">
        <v>1.75999999999999E-2</v>
      </c>
      <c r="C306">
        <v>6.1999999999999998E-3</v>
      </c>
      <c r="D306">
        <v>2.7E-2</v>
      </c>
      <c r="P306" t="s">
        <v>592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593</v>
      </c>
      <c r="B307">
        <v>-1.72E-2</v>
      </c>
      <c r="C307">
        <v>-3.9300000000000002E-2</v>
      </c>
      <c r="D307">
        <v>-8.8999999999999999E-3</v>
      </c>
      <c r="P307" t="s">
        <v>593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594</v>
      </c>
      <c r="B308">
        <v>2.12E-2</v>
      </c>
      <c r="C308">
        <v>2.4899999999999999E-2</v>
      </c>
      <c r="D308">
        <v>1.3599999999999999E-2</v>
      </c>
      <c r="P308" t="s">
        <v>594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595</v>
      </c>
      <c r="B309">
        <v>6.6500000000000004E-2</v>
      </c>
      <c r="C309">
        <v>8.4900000000000003E-2</v>
      </c>
      <c r="D309">
        <v>4.6600000000000003E-2</v>
      </c>
      <c r="P309" t="s">
        <v>595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596</v>
      </c>
      <c r="B310">
        <v>-1.6399999999999901E-2</v>
      </c>
      <c r="C310">
        <v>-1.7100000000000001E-2</v>
      </c>
      <c r="D310">
        <v>-1.9099999999999999E-2</v>
      </c>
      <c r="P310" t="s">
        <v>596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597</v>
      </c>
      <c r="B311">
        <v>2.24E-2</v>
      </c>
      <c r="C311">
        <v>-1.9199999999999998E-2</v>
      </c>
      <c r="D311">
        <v>2.6099999999999901E-2</v>
      </c>
      <c r="P311" t="s">
        <v>597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598</v>
      </c>
      <c r="B312">
        <v>4.9999999999999899E-2</v>
      </c>
      <c r="C312">
        <v>2.1899999999999999E-2</v>
      </c>
      <c r="D312">
        <v>4.6100000000000002E-2</v>
      </c>
      <c r="P312" t="s">
        <v>598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599</v>
      </c>
      <c r="B313">
        <v>4.1399999999999999E-2</v>
      </c>
      <c r="C313">
        <v>3.4000000000000002E-2</v>
      </c>
      <c r="D313">
        <v>4.0999999999999898E-2</v>
      </c>
      <c r="P313" t="s">
        <v>599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600</v>
      </c>
      <c r="B314">
        <v>-6.4000000000000003E-3</v>
      </c>
      <c r="C314">
        <v>-3.4500000000000003E-2</v>
      </c>
      <c r="D314">
        <v>1.1299999999999999E-2</v>
      </c>
      <c r="P314" t="s">
        <v>600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601</v>
      </c>
      <c r="B315">
        <v>7.9000000000000001E-2</v>
      </c>
      <c r="C315">
        <v>-8.3999999999999995E-3</v>
      </c>
      <c r="D315">
        <v>6.0199999999999997E-2</v>
      </c>
      <c r="P315" t="s">
        <v>601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602</v>
      </c>
      <c r="B316">
        <v>2.18E-2</v>
      </c>
      <c r="C316">
        <v>0.01</v>
      </c>
      <c r="D316">
        <v>4.1999999999999997E-3</v>
      </c>
      <c r="P316" t="s">
        <v>602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603</v>
      </c>
      <c r="B317">
        <v>-1.0999999999999901E-3</v>
      </c>
      <c r="C317">
        <v>-3.1399999999999997E-2</v>
      </c>
      <c r="D317">
        <v>7.1999999999999998E-3</v>
      </c>
      <c r="P317" t="s">
        <v>603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604</v>
      </c>
      <c r="B318">
        <v>-2.9899999999999899E-2</v>
      </c>
      <c r="C318">
        <v>-9.98E-2</v>
      </c>
      <c r="D318">
        <v>-1.6999999999999999E-3</v>
      </c>
      <c r="P318" t="s">
        <v>604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605</v>
      </c>
      <c r="B319">
        <v>1.72E-2</v>
      </c>
      <c r="C319">
        <v>-2.6499999999999999E-2</v>
      </c>
      <c r="D319">
        <v>2.9499999999999998E-2</v>
      </c>
      <c r="P319" t="s">
        <v>605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606</v>
      </c>
      <c r="B320">
        <v>1.77E-2</v>
      </c>
      <c r="C320">
        <v>-1.37E-2</v>
      </c>
      <c r="D320">
        <v>4.6300000000000001E-2</v>
      </c>
      <c r="P320" t="s">
        <v>606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607</v>
      </c>
      <c r="B321">
        <v>-7.2800000000000004E-2</v>
      </c>
      <c r="C321">
        <v>-8.6599999999999996E-2</v>
      </c>
      <c r="D321">
        <v>-6.2399999999999997E-2</v>
      </c>
      <c r="P321" t="s">
        <v>607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608</v>
      </c>
      <c r="B322">
        <v>1.6799999999999999E-2</v>
      </c>
      <c r="C322">
        <v>2.98E-2</v>
      </c>
      <c r="D322">
        <v>4.1999999999999997E-3</v>
      </c>
      <c r="P322" t="s">
        <v>608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609</v>
      </c>
      <c r="B323">
        <v>2.47E-2</v>
      </c>
      <c r="C323">
        <v>1.6199999999999999E-2</v>
      </c>
      <c r="D323">
        <v>8.3000000000000001E-3</v>
      </c>
      <c r="P323" t="s">
        <v>609</v>
      </c>
      <c r="Q323">
        <f t="shared" si="12"/>
        <v>2.3699999999999999E-2</v>
      </c>
      <c r="R323">
        <f t="shared" si="13"/>
        <v>1.5199999999999998E-2</v>
      </c>
      <c r="S323">
        <f t="shared" si="14"/>
        <v>7.3000000000000001E-3</v>
      </c>
    </row>
    <row r="324" spans="1:19">
      <c r="A324" t="s">
        <v>610</v>
      </c>
      <c r="B324">
        <v>-2.6699999999999901E-2</v>
      </c>
      <c r="C324">
        <v>-7.6499999999999999E-2</v>
      </c>
      <c r="D324">
        <v>-3.3000000000000002E-2</v>
      </c>
      <c r="P324" t="s">
        <v>610</v>
      </c>
      <c r="Q324">
        <f t="shared" ref="Q324:Q387" si="15">B324-0.001</f>
        <v>-2.7699999999999902E-2</v>
      </c>
      <c r="R324">
        <f t="shared" ref="R324:R387" si="16">C324-0.001</f>
        <v>-7.7499999999999999E-2</v>
      </c>
      <c r="S324">
        <f t="shared" ref="S324:S387" si="17">D324-0.001</f>
        <v>-3.4000000000000002E-2</v>
      </c>
    </row>
    <row r="325" spans="1:19">
      <c r="A325" t="s">
        <v>611</v>
      </c>
      <c r="B325">
        <v>9.0999999999999998E-2</v>
      </c>
      <c r="C325">
        <v>4.07E-2</v>
      </c>
      <c r="D325">
        <v>6.9400000000000003E-2</v>
      </c>
      <c r="P325" t="s">
        <v>611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612</v>
      </c>
      <c r="B326">
        <v>-4.5999999999999999E-3</v>
      </c>
      <c r="C326">
        <v>-2.3900000000000001E-2</v>
      </c>
      <c r="D326">
        <v>-8.9999999999999993E-3</v>
      </c>
      <c r="P326" t="s">
        <v>612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613</v>
      </c>
      <c r="B327">
        <v>-1.21999999999999E-2</v>
      </c>
      <c r="C327">
        <v>-9.2699999999999894E-2</v>
      </c>
      <c r="D327">
        <v>1.9900000000000001E-2</v>
      </c>
      <c r="P327" t="s">
        <v>613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614</v>
      </c>
      <c r="B328">
        <v>-9.4899999999999998E-2</v>
      </c>
      <c r="C328">
        <v>-0.1673</v>
      </c>
      <c r="D328">
        <v>-5.8899999999999897E-2</v>
      </c>
      <c r="P328" t="s">
        <v>614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615</v>
      </c>
      <c r="B329">
        <v>-5.5199999999999999E-2</v>
      </c>
      <c r="C329">
        <v>-0.14080000000000001</v>
      </c>
      <c r="D329">
        <v>-1.06E-2</v>
      </c>
      <c r="P329" t="s">
        <v>615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616</v>
      </c>
      <c r="B330">
        <v>-1.2399999999999901E-2</v>
      </c>
      <c r="C330">
        <v>-0.11169999999999999</v>
      </c>
      <c r="D330">
        <v>1.7000000000000001E-2</v>
      </c>
      <c r="P330" t="s">
        <v>616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617</v>
      </c>
      <c r="B331">
        <v>6.9199999999999998E-2</v>
      </c>
      <c r="C331">
        <v>0.1363</v>
      </c>
      <c r="D331">
        <v>3.4799999999999998E-2</v>
      </c>
      <c r="P331" t="s">
        <v>617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618</v>
      </c>
      <c r="B332">
        <v>3.0599999999999999E-2</v>
      </c>
      <c r="C332">
        <v>-1.2699999999999999E-2</v>
      </c>
      <c r="D332">
        <v>1.46E-2</v>
      </c>
      <c r="P332" t="s">
        <v>618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619</v>
      </c>
      <c r="B333">
        <v>5.21E-2</v>
      </c>
      <c r="C333">
        <v>8.0799999999999997E-2</v>
      </c>
      <c r="D333">
        <v>-6.7000000000000002E-3</v>
      </c>
      <c r="P333" t="s">
        <v>619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620</v>
      </c>
      <c r="B334">
        <v>7.6700000000000004E-2</v>
      </c>
      <c r="C334">
        <v>0.21690000000000001</v>
      </c>
      <c r="D334">
        <v>6.0400000000000002E-2</v>
      </c>
      <c r="P334" t="s">
        <v>620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621</v>
      </c>
      <c r="B335">
        <v>3.09E-2</v>
      </c>
      <c r="C335">
        <v>5.7799999999999997E-2</v>
      </c>
      <c r="D335">
        <v>2.4500000000000001E-2</v>
      </c>
      <c r="P335" t="s">
        <v>621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622</v>
      </c>
      <c r="B336">
        <v>2.4999999999999901E-3</v>
      </c>
      <c r="C336">
        <v>-2E-3</v>
      </c>
      <c r="D336">
        <v>5.4999999999999997E-3</v>
      </c>
      <c r="P336" t="s">
        <v>622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623</v>
      </c>
      <c r="B337">
        <v>4.1200000000000001E-2</v>
      </c>
      <c r="C337">
        <v>2.1499999999999998E-2</v>
      </c>
      <c r="D337">
        <v>2.0000000000000001E-4</v>
      </c>
      <c r="P337" t="s">
        <v>623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624</v>
      </c>
      <c r="B338">
        <v>-4.5199999999999997E-2</v>
      </c>
      <c r="C338">
        <v>-4.0599999999999997E-2</v>
      </c>
      <c r="D338">
        <v>-2.2599999999999999E-2</v>
      </c>
      <c r="P338" t="s">
        <v>624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625</v>
      </c>
      <c r="B339">
        <v>4.7300000000000002E-2</v>
      </c>
      <c r="C339">
        <v>1.8100000000000002E-2</v>
      </c>
      <c r="D339">
        <v>3.4799999999999998E-2</v>
      </c>
      <c r="P339" t="s">
        <v>625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626</v>
      </c>
      <c r="B340">
        <v>2.7799999999999998E-2</v>
      </c>
      <c r="C340">
        <v>5.7799999999999997E-2</v>
      </c>
      <c r="D340">
        <v>1.6799999999999999E-2</v>
      </c>
      <c r="P340" t="s">
        <v>626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627</v>
      </c>
      <c r="B341">
        <v>-1.1299999999999999E-2</v>
      </c>
      <c r="C341">
        <v>-6.0299999999999999E-2</v>
      </c>
      <c r="D341">
        <v>1.1599999999999999E-2</v>
      </c>
      <c r="P341" t="s">
        <v>627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628</v>
      </c>
      <c r="B342">
        <v>1.7100000000000001E-2</v>
      </c>
      <c r="C342">
        <v>7.4999999999999997E-3</v>
      </c>
      <c r="D342">
        <v>2.2700000000000001E-2</v>
      </c>
      <c r="P342" t="s">
        <v>628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629</v>
      </c>
      <c r="B343">
        <v>-3.7999999999999999E-2</v>
      </c>
      <c r="C343">
        <v>-8.3900000000000002E-2</v>
      </c>
      <c r="D343">
        <v>-2.18E-2</v>
      </c>
      <c r="P343" t="s">
        <v>629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630</v>
      </c>
      <c r="B344">
        <v>0.11219999999999999</v>
      </c>
      <c r="C344">
        <v>2.58E-2</v>
      </c>
      <c r="D344">
        <v>7.4099999999999999E-2</v>
      </c>
      <c r="P344" t="s">
        <v>630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631</v>
      </c>
      <c r="B345">
        <v>-2.4999999999999901E-3</v>
      </c>
      <c r="C345">
        <v>5.7299999999999997E-2</v>
      </c>
      <c r="D345">
        <v>-3.5299999999999998E-2</v>
      </c>
      <c r="P345" t="s">
        <v>631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632</v>
      </c>
      <c r="B346">
        <v>1.37E-2</v>
      </c>
      <c r="C346">
        <v>1.72E-2</v>
      </c>
      <c r="D346">
        <v>-1.03E-2</v>
      </c>
      <c r="P346" t="s">
        <v>632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633</v>
      </c>
      <c r="B347">
        <v>-2.3199999999999998E-2</v>
      </c>
      <c r="C347">
        <v>-5.1799999999999999E-2</v>
      </c>
      <c r="D347">
        <v>-1.5699999999999999E-2</v>
      </c>
      <c r="P347" t="s">
        <v>633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634</v>
      </c>
      <c r="B348">
        <v>1.3899999999999999E-2</v>
      </c>
      <c r="C348">
        <v>2.8E-3</v>
      </c>
      <c r="D348">
        <v>4.3400000000000001E-2</v>
      </c>
      <c r="P348" t="s">
        <v>634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635</v>
      </c>
      <c r="B349">
        <v>5.7999999999999996E-3</v>
      </c>
      <c r="C349">
        <v>3.39E-2</v>
      </c>
      <c r="D349">
        <v>9.1000000000000004E-3</v>
      </c>
      <c r="P349" t="s">
        <v>635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636</v>
      </c>
      <c r="B350">
        <v>-2.0199999999999899E-2</v>
      </c>
      <c r="C350">
        <v>-6.0199999999999997E-2</v>
      </c>
      <c r="D350">
        <v>1.4E-3</v>
      </c>
      <c r="P350" t="s">
        <v>636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637</v>
      </c>
      <c r="B351">
        <v>4.0799999999999899E-2</v>
      </c>
      <c r="C351">
        <v>2.3300000000000001E-2</v>
      </c>
      <c r="D351">
        <v>4.82E-2</v>
      </c>
      <c r="P351" t="s">
        <v>637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638</v>
      </c>
      <c r="B352">
        <v>-2.1199999999999899E-2</v>
      </c>
      <c r="C352">
        <v>-3.5499999999999997E-2</v>
      </c>
      <c r="D352">
        <v>-3.0000000000000001E-3</v>
      </c>
      <c r="P352" t="s">
        <v>638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639</v>
      </c>
      <c r="B353">
        <v>1.44999999999999E-2</v>
      </c>
      <c r="C353">
        <v>-5.0000000000000001E-4</v>
      </c>
      <c r="D353">
        <v>6.3E-3</v>
      </c>
      <c r="P353" t="s">
        <v>639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640</v>
      </c>
      <c r="B354">
        <v>1.2500000000000001E-2</v>
      </c>
      <c r="C354">
        <v>2.35E-2</v>
      </c>
      <c r="D354">
        <v>-1.39999999999999E-2</v>
      </c>
      <c r="P354" t="s">
        <v>640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641</v>
      </c>
      <c r="B355">
        <v>4.36E-2</v>
      </c>
      <c r="C355">
        <v>7.6600000000000001E-2</v>
      </c>
      <c r="D355">
        <v>5.7999999999999996E-3</v>
      </c>
      <c r="P355" t="s">
        <v>641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642</v>
      </c>
      <c r="B356">
        <v>1.8100000000000002E-2</v>
      </c>
      <c r="C356">
        <v>-1.6E-2</v>
      </c>
      <c r="D356">
        <v>1.03E-2</v>
      </c>
      <c r="P356" t="s">
        <v>642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643</v>
      </c>
      <c r="B357">
        <v>1.1599999999999999E-2</v>
      </c>
      <c r="C357">
        <v>1.34E-2</v>
      </c>
      <c r="D357">
        <v>1.18999999999999E-2</v>
      </c>
      <c r="P357" t="s">
        <v>643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644</v>
      </c>
      <c r="B358">
        <v>3.3999999999999998E-3</v>
      </c>
      <c r="C358">
        <v>-2.33999999999999E-2</v>
      </c>
      <c r="D358">
        <v>4.5599999999999898E-2</v>
      </c>
      <c r="P358" t="s">
        <v>644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645</v>
      </c>
      <c r="B359">
        <v>2.5499999999999998E-2</v>
      </c>
      <c r="C359">
        <v>-2.07E-2</v>
      </c>
      <c r="D359">
        <v>2.18E-2</v>
      </c>
      <c r="P359" t="s">
        <v>645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646</v>
      </c>
      <c r="B360">
        <v>-2.81E-2</v>
      </c>
      <c r="C360">
        <v>-5.9699999999999899E-2</v>
      </c>
      <c r="D360">
        <v>-1.3100000000000001E-2</v>
      </c>
      <c r="P360" t="s">
        <v>646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647</v>
      </c>
      <c r="B361">
        <v>3.1099999999999999E-2</v>
      </c>
      <c r="C361">
        <v>5.6299999999999899E-2</v>
      </c>
      <c r="D361">
        <v>8.3999999999999995E-3</v>
      </c>
      <c r="P361" t="s">
        <v>647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648</v>
      </c>
      <c r="B362">
        <v>5.5999999999999999E-3</v>
      </c>
      <c r="C362">
        <v>-2.8999999999999901E-2</v>
      </c>
      <c r="D362">
        <v>1.8100000000000002E-2</v>
      </c>
      <c r="P362" t="s">
        <v>648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649</v>
      </c>
      <c r="B363">
        <v>-1E-3</v>
      </c>
      <c r="C363">
        <v>-5.4600000000000003E-2</v>
      </c>
      <c r="D363">
        <v>8.0999999999999996E-3</v>
      </c>
      <c r="P363" t="s">
        <v>649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650</v>
      </c>
      <c r="B364">
        <v>3.9600000000000003E-2</v>
      </c>
      <c r="C364">
        <v>2.9399999999999999E-2</v>
      </c>
      <c r="D364">
        <v>4.2999999999999997E-2</v>
      </c>
      <c r="P364" t="s">
        <v>650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651</v>
      </c>
      <c r="B365">
        <v>1.4E-3</v>
      </c>
      <c r="C365">
        <v>-3.0599999999999999E-2</v>
      </c>
      <c r="D365">
        <v>-2.5000000000000001E-3</v>
      </c>
      <c r="P365" t="s">
        <v>651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652</v>
      </c>
      <c r="B366">
        <v>1.6299999999999999E-2</v>
      </c>
      <c r="C366">
        <v>9.5199999999999896E-2</v>
      </c>
      <c r="D366">
        <v>1E-3</v>
      </c>
      <c r="P366" t="s">
        <v>652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653</v>
      </c>
      <c r="B367">
        <v>-1.6400000000000001E-2</v>
      </c>
      <c r="C367">
        <v>4.4400000000000002E-2</v>
      </c>
      <c r="D367">
        <v>-3.56E-2</v>
      </c>
      <c r="P367" t="s">
        <v>653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654</v>
      </c>
      <c r="B368">
        <v>1.8800000000000001E-2</v>
      </c>
      <c r="C368">
        <v>7.9000000000000008E-3</v>
      </c>
      <c r="D368">
        <v>9.1999999999999998E-3</v>
      </c>
      <c r="P368" t="s">
        <v>654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655</v>
      </c>
      <c r="B369">
        <v>3.1199999999999999E-2</v>
      </c>
      <c r="C369">
        <v>6.7099999999999896E-2</v>
      </c>
      <c r="D369">
        <v>1.5699999999999999E-2</v>
      </c>
      <c r="P369" t="s">
        <v>655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656</v>
      </c>
      <c r="B370">
        <v>-2.33999999999999E-2</v>
      </c>
      <c r="C370">
        <v>-1.5100000000000001E-2</v>
      </c>
      <c r="D370">
        <v>-4.07E-2</v>
      </c>
      <c r="P370" t="s">
        <v>656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657</v>
      </c>
      <c r="B371">
        <v>-4.5100000000000001E-2</v>
      </c>
      <c r="C371">
        <v>-4.8899999999999999E-2</v>
      </c>
      <c r="D371">
        <v>-2.81E-2</v>
      </c>
      <c r="P371" t="s">
        <v>657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658</v>
      </c>
      <c r="B372">
        <v>9.4999999999999998E-3</v>
      </c>
      <c r="C372">
        <v>-1.46E-2</v>
      </c>
      <c r="D372">
        <v>2.1999999999999999E-2</v>
      </c>
      <c r="P372" t="s">
        <v>658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659</v>
      </c>
      <c r="B373">
        <v>8.8999999999999999E-3</v>
      </c>
      <c r="C373">
        <v>1.5299999999999999E-2</v>
      </c>
      <c r="D373">
        <v>-3.2000000000000002E-3</v>
      </c>
      <c r="P373" t="s">
        <v>659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660</v>
      </c>
      <c r="B374">
        <v>-2.7199999999999998E-2</v>
      </c>
      <c r="C374">
        <v>-4.36E-2</v>
      </c>
      <c r="D374">
        <v>-1.43E-2</v>
      </c>
      <c r="P374" t="s">
        <v>660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661</v>
      </c>
      <c r="B375">
        <v>3.1E-2</v>
      </c>
      <c r="C375">
        <v>3.5099999999999999E-2</v>
      </c>
      <c r="D375">
        <v>2.8199999999999999E-2</v>
      </c>
      <c r="P375" t="s">
        <v>661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662</v>
      </c>
      <c r="B376">
        <v>4.3799999999999999E-2</v>
      </c>
      <c r="C376">
        <v>5.4299999999999897E-2</v>
      </c>
      <c r="D376">
        <v>1.41E-2</v>
      </c>
      <c r="P376" t="s">
        <v>662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663</v>
      </c>
      <c r="B377">
        <v>-1.9400000000000001E-2</v>
      </c>
      <c r="C377">
        <v>-1.18E-2</v>
      </c>
      <c r="D377">
        <v>-1.3299999999999999E-2</v>
      </c>
      <c r="P377" t="s">
        <v>663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664</v>
      </c>
      <c r="B378">
        <v>1.72E-2</v>
      </c>
      <c r="C378">
        <v>-6.8999999999999999E-3</v>
      </c>
      <c r="D378">
        <v>2.53E-2</v>
      </c>
      <c r="P378" t="s">
        <v>664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665</v>
      </c>
      <c r="B379">
        <v>-3.6699999999999899E-2</v>
      </c>
      <c r="C379">
        <v>-3.1699999999999999E-2</v>
      </c>
      <c r="D379">
        <v>-3.4099999999999998E-2</v>
      </c>
      <c r="P379" t="s">
        <v>665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666</v>
      </c>
      <c r="B380">
        <v>1.2999999999999999E-2</v>
      </c>
      <c r="C380">
        <v>-1.95E-2</v>
      </c>
      <c r="D380">
        <v>8.9999999999999993E-3</v>
      </c>
      <c r="P380" t="s">
        <v>666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667</v>
      </c>
      <c r="B381">
        <v>2.2200000000000001E-2</v>
      </c>
      <c r="C381">
        <v>1.6799999999999999E-2</v>
      </c>
      <c r="D381">
        <v>3.3799999999999997E-2</v>
      </c>
      <c r="P381" t="s">
        <v>667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668</v>
      </c>
      <c r="B382">
        <v>4.0300000000000002E-2</v>
      </c>
      <c r="C382">
        <v>3.1800000000000002E-2</v>
      </c>
      <c r="D382">
        <v>2.3900000000000001E-2</v>
      </c>
      <c r="P382" t="s">
        <v>668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669</v>
      </c>
      <c r="B383">
        <v>2.6499999999999999E-2</v>
      </c>
      <c r="C383">
        <v>3.7000000000000002E-3</v>
      </c>
      <c r="D383">
        <v>2.0299999999999999E-2</v>
      </c>
      <c r="P383" t="s">
        <v>669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670</v>
      </c>
      <c r="B384">
        <v>2.5499999999999998E-2</v>
      </c>
      <c r="C384">
        <v>2.7400000000000001E-2</v>
      </c>
      <c r="D384">
        <v>3.5699999999999898E-2</v>
      </c>
      <c r="P384" t="s">
        <v>670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671</v>
      </c>
      <c r="B385">
        <v>3.44E-2</v>
      </c>
      <c r="C385">
        <v>2.7699999999999999E-2</v>
      </c>
      <c r="D385">
        <v>2.8199999999999999E-2</v>
      </c>
      <c r="P385" t="s">
        <v>671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672</v>
      </c>
      <c r="B386">
        <v>3.1899999999999998E-2</v>
      </c>
      <c r="C386">
        <v>7.1300000000000002E-2</v>
      </c>
      <c r="D386">
        <v>3.0000000000000001E-3</v>
      </c>
      <c r="P386" t="s">
        <v>672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673</v>
      </c>
      <c r="B387">
        <v>4.1700000000000001E-2</v>
      </c>
      <c r="C387">
        <v>5.74E-2</v>
      </c>
      <c r="D387">
        <v>2.5399999999999999E-2</v>
      </c>
      <c r="P387" t="s">
        <v>673</v>
      </c>
      <c r="Q387">
        <f t="shared" si="15"/>
        <v>4.07E-2</v>
      </c>
      <c r="R387">
        <f t="shared" si="16"/>
        <v>5.6399999999999999E-2</v>
      </c>
      <c r="S387">
        <f t="shared" si="17"/>
        <v>2.4399999999999998E-2</v>
      </c>
    </row>
    <row r="388" spans="1:19">
      <c r="A388" t="s">
        <v>674</v>
      </c>
      <c r="B388">
        <v>1.0200000000000001E-2</v>
      </c>
      <c r="C388">
        <v>1.16999999999999E-2</v>
      </c>
      <c r="D388">
        <v>6.7999999999999996E-3</v>
      </c>
      <c r="P388" t="s">
        <v>674</v>
      </c>
      <c r="Q388">
        <f t="shared" ref="Q388:Q451" si="18">B388-0.001</f>
        <v>9.1999999999999998E-3</v>
      </c>
      <c r="R388">
        <f t="shared" ref="R388:R451" si="19">C388-0.001</f>
        <v>1.0699999999999901E-2</v>
      </c>
      <c r="S388">
        <f t="shared" ref="S388:S451" si="20">D388-0.001</f>
        <v>5.7999999999999996E-3</v>
      </c>
    </row>
    <row r="389" spans="1:19">
      <c r="A389" t="s">
        <v>675</v>
      </c>
      <c r="B389">
        <v>3.78E-2</v>
      </c>
      <c r="C389">
        <v>-1.6899999999999998E-2</v>
      </c>
      <c r="D389">
        <v>4.5199999999999997E-2</v>
      </c>
      <c r="P389" t="s">
        <v>675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676</v>
      </c>
      <c r="B390">
        <v>-1.0500000000000001E-2</v>
      </c>
      <c r="C390">
        <v>-7.3800000000000004E-2</v>
      </c>
      <c r="D390">
        <v>8.1999999999999903E-3</v>
      </c>
      <c r="P390" t="s">
        <v>676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677</v>
      </c>
      <c r="B391">
        <v>4.3799999999999999E-2</v>
      </c>
      <c r="C391">
        <v>4.9099999999999998E-2</v>
      </c>
      <c r="D391">
        <v>3.4599999999999999E-2</v>
      </c>
      <c r="P391" t="s">
        <v>677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678</v>
      </c>
      <c r="B392">
        <v>1.52E-2</v>
      </c>
      <c r="C392">
        <v>-2.4899999999999999E-2</v>
      </c>
      <c r="D392">
        <v>4.1299999999999899E-2</v>
      </c>
      <c r="P392" t="s">
        <v>678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679</v>
      </c>
      <c r="B393">
        <v>2.69E-2</v>
      </c>
      <c r="C393">
        <v>1.6999999999999999E-3</v>
      </c>
      <c r="D393">
        <v>2.3300000000000001E-2</v>
      </c>
      <c r="P393" t="s">
        <v>679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680</v>
      </c>
      <c r="B394">
        <v>1.72E-2</v>
      </c>
      <c r="C394">
        <v>4.3299999999999998E-2</v>
      </c>
      <c r="D394">
        <v>-8.9999999999999993E-3</v>
      </c>
      <c r="P394" t="s">
        <v>680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681</v>
      </c>
      <c r="B395">
        <v>1.12E-2</v>
      </c>
      <c r="C395">
        <v>4.3899999999999897E-2</v>
      </c>
      <c r="D395">
        <v>1.1000000000000001E-3</v>
      </c>
      <c r="P395" t="s">
        <v>681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682</v>
      </c>
      <c r="B396">
        <v>2.52E-2</v>
      </c>
      <c r="C396">
        <v>0.1027</v>
      </c>
      <c r="D396">
        <v>1.11E-2</v>
      </c>
      <c r="P396" t="s">
        <v>682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683</v>
      </c>
      <c r="B397">
        <v>2.7799999999999998E-2</v>
      </c>
      <c r="C397">
        <v>0.01</v>
      </c>
      <c r="D397">
        <v>1.04E-2</v>
      </c>
      <c r="P397" t="s">
        <v>683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684</v>
      </c>
      <c r="B398">
        <v>-7.3999999999999899E-3</v>
      </c>
      <c r="C398">
        <v>-6.8000000000000005E-2</v>
      </c>
      <c r="D398">
        <v>1.7600000000000001E-2</v>
      </c>
      <c r="P398" t="s">
        <v>684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685</v>
      </c>
      <c r="B399">
        <v>-5.5199999999999999E-2</v>
      </c>
      <c r="C399">
        <v>-0.10829999999999999</v>
      </c>
      <c r="D399">
        <v>-3.7100000000000001E-2</v>
      </c>
      <c r="P399" t="s">
        <v>685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686</v>
      </c>
      <c r="B400">
        <v>3.1799999999999898E-2</v>
      </c>
      <c r="C400">
        <v>4.58E-2</v>
      </c>
      <c r="D400">
        <v>2.18E-2</v>
      </c>
      <c r="P400" t="s">
        <v>686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687</v>
      </c>
      <c r="B401">
        <v>5.45E-2</v>
      </c>
      <c r="C401">
        <v>5.11E-2</v>
      </c>
      <c r="D401">
        <v>3.27E-2</v>
      </c>
      <c r="P401" t="s">
        <v>687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688</v>
      </c>
      <c r="B402">
        <v>1.27999999999999E-2</v>
      </c>
      <c r="C402">
        <v>-7.8E-2</v>
      </c>
      <c r="D402">
        <v>2.92E-2</v>
      </c>
      <c r="P402" t="s">
        <v>688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689</v>
      </c>
      <c r="B403">
        <v>6.6599999999999895E-2</v>
      </c>
      <c r="C403">
        <v>0.1188</v>
      </c>
      <c r="D403">
        <v>5.7299999999999997E-2</v>
      </c>
      <c r="P403" t="s">
        <v>689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690</v>
      </c>
      <c r="B404">
        <v>-1.24E-2</v>
      </c>
      <c r="C404">
        <v>7.1999999999999998E-3</v>
      </c>
      <c r="D404">
        <v>-3.2000000000000002E-3</v>
      </c>
      <c r="P404" t="s">
        <v>690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691</v>
      </c>
      <c r="B405">
        <v>5.4300000000000001E-2</v>
      </c>
      <c r="C405">
        <v>3.0800000000000001E-2</v>
      </c>
      <c r="D405">
        <v>3.39E-2</v>
      </c>
      <c r="P405" t="s">
        <v>691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692</v>
      </c>
      <c r="B406">
        <v>-9.9999999999999894E-4</v>
      </c>
      <c r="C406">
        <v>-2.93E-2</v>
      </c>
      <c r="D406">
        <v>-2.0999999999999999E-3</v>
      </c>
      <c r="P406" t="s">
        <v>692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693</v>
      </c>
      <c r="B407">
        <v>-4.5899999999999899E-2</v>
      </c>
      <c r="C407">
        <v>-7.6200000000000004E-2</v>
      </c>
      <c r="D407">
        <v>-1.3899999999999999E-2</v>
      </c>
      <c r="P407" t="s">
        <v>693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694</v>
      </c>
      <c r="B408">
        <v>4.4699999999999997E-2</v>
      </c>
      <c r="C408">
        <v>-2.7E-2</v>
      </c>
      <c r="D408">
        <v>2.92E-2</v>
      </c>
      <c r="P408" t="s">
        <v>694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695</v>
      </c>
      <c r="B409">
        <v>7.2300000000000003E-2</v>
      </c>
      <c r="C409">
        <v>0.17419999999999999</v>
      </c>
      <c r="D409">
        <v>6.1699999999999998E-2</v>
      </c>
      <c r="P409" t="s">
        <v>695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696</v>
      </c>
      <c r="B410">
        <v>4.4699999999999997E-2</v>
      </c>
      <c r="C410">
        <v>1.5599999999999999E-2</v>
      </c>
      <c r="D410">
        <v>4.0500000000000001E-2</v>
      </c>
      <c r="P410" t="s">
        <v>696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697</v>
      </c>
      <c r="B411">
        <v>7.7600000000000002E-2</v>
      </c>
      <c r="C411">
        <v>4.1200000000000001E-2</v>
      </c>
      <c r="D411">
        <v>8.0600000000000005E-2</v>
      </c>
      <c r="P411" t="s">
        <v>697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698</v>
      </c>
      <c r="B412">
        <v>-3.7400000000000003E-2</v>
      </c>
      <c r="C412">
        <v>1.47E-2</v>
      </c>
      <c r="D412">
        <v>-1.8599999999999998E-2</v>
      </c>
      <c r="P412" t="s">
        <v>698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699</v>
      </c>
      <c r="B413">
        <v>5.79E-2</v>
      </c>
      <c r="C413">
        <v>4.0800000000000003E-2</v>
      </c>
      <c r="D413">
        <v>4.9299999999999997E-2</v>
      </c>
      <c r="P413" t="s">
        <v>699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700</v>
      </c>
      <c r="B414">
        <v>-3.3799999999999997E-2</v>
      </c>
      <c r="C414">
        <v>-5.9299999999999999E-2</v>
      </c>
      <c r="D414">
        <v>-3.2000000000000001E-2</v>
      </c>
      <c r="P414" t="s">
        <v>700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701</v>
      </c>
      <c r="B415">
        <v>3.3700000000000001E-2</v>
      </c>
      <c r="C415">
        <v>-1.38E-2</v>
      </c>
      <c r="D415">
        <v>2.18E-2</v>
      </c>
      <c r="P415" t="s">
        <v>701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702</v>
      </c>
      <c r="B416">
        <v>1.7999999999999999E-2</v>
      </c>
      <c r="C416">
        <v>-2.8399999999999901E-2</v>
      </c>
      <c r="D416">
        <v>1.44999999999999E-2</v>
      </c>
      <c r="P416" t="s">
        <v>702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703</v>
      </c>
      <c r="B417">
        <v>5.7999999999999996E-3</v>
      </c>
      <c r="C417">
        <v>-2.0000000000000001E-4</v>
      </c>
      <c r="D417">
        <v>-1.2500000000000001E-2</v>
      </c>
      <c r="P417" t="s">
        <v>703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704</v>
      </c>
      <c r="B418">
        <v>7.4300000000000005E-2</v>
      </c>
      <c r="C418">
        <v>8.4900000000000003E-2</v>
      </c>
      <c r="D418">
        <v>6.6500000000000004E-2</v>
      </c>
      <c r="P418" t="s">
        <v>704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705</v>
      </c>
      <c r="B419">
        <v>5.1499999999999997E-2</v>
      </c>
      <c r="C419">
        <v>4.48E-2</v>
      </c>
      <c r="D419">
        <v>6.4000000000000001E-2</v>
      </c>
      <c r="P419" t="s">
        <v>705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706</v>
      </c>
      <c r="B420">
        <v>1.1599999999999999E-2</v>
      </c>
      <c r="C420">
        <v>4.5599999999999898E-2</v>
      </c>
      <c r="D420">
        <v>1.3899999999999999E-2</v>
      </c>
      <c r="P420" t="s">
        <v>706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707</v>
      </c>
      <c r="B421">
        <v>-2.6699999999999901E-2</v>
      </c>
      <c r="C421">
        <v>-8.2899999999999904E-2</v>
      </c>
      <c r="D421">
        <v>-7.6E-3</v>
      </c>
      <c r="P421" t="s">
        <v>707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708</v>
      </c>
      <c r="B422">
        <v>3.5900000000000001E-2</v>
      </c>
      <c r="C422">
        <v>-3.7499999999999999E-2</v>
      </c>
      <c r="D422">
        <v>3.0200000000000001E-2</v>
      </c>
      <c r="P422" t="s">
        <v>708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709</v>
      </c>
      <c r="B423">
        <v>-2.06E-2</v>
      </c>
      <c r="C423">
        <v>-7.2800000000000004E-2</v>
      </c>
      <c r="D423">
        <v>-3.4099999999999998E-2</v>
      </c>
      <c r="P423" t="s">
        <v>709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710</v>
      </c>
      <c r="B424">
        <v>-0.156499999999999</v>
      </c>
      <c r="C424">
        <v>-0.21609999999999999</v>
      </c>
      <c r="D424">
        <v>-0.1162</v>
      </c>
      <c r="P424" t="s">
        <v>710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711</v>
      </c>
      <c r="B425">
        <v>6.6100000000000006E-2</v>
      </c>
      <c r="C425">
        <v>0.1416</v>
      </c>
      <c r="D425">
        <v>4.6399999999999997E-2</v>
      </c>
      <c r="P425" t="s">
        <v>711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712</v>
      </c>
      <c r="B426">
        <v>7.4499999999999997E-2</v>
      </c>
      <c r="C426">
        <v>0.13150000000000001</v>
      </c>
      <c r="D426">
        <v>6.1899999999999997E-2</v>
      </c>
      <c r="P426" t="s">
        <v>712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713</v>
      </c>
      <c r="B427">
        <v>6.4100000000000004E-2</v>
      </c>
      <c r="C427">
        <v>3.8100000000000002E-2</v>
      </c>
      <c r="D427">
        <v>3.9E-2</v>
      </c>
      <c r="P427" t="s">
        <v>713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714</v>
      </c>
      <c r="B428">
        <v>6.54E-2</v>
      </c>
      <c r="C428">
        <v>-7.7999999999999996E-3</v>
      </c>
      <c r="D428">
        <v>3.8199999999999998E-2</v>
      </c>
      <c r="P428" t="s">
        <v>714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715</v>
      </c>
      <c r="B429">
        <v>3.85E-2</v>
      </c>
      <c r="C429">
        <v>2.0400000000000001E-2</v>
      </c>
      <c r="D429">
        <v>-2.9399999999999999E-2</v>
      </c>
      <c r="P429" t="s">
        <v>715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716</v>
      </c>
      <c r="B430">
        <v>-3.73E-2</v>
      </c>
      <c r="C430">
        <v>-7.0099999999999996E-2</v>
      </c>
      <c r="D430">
        <v>-1.12E-2</v>
      </c>
      <c r="P430" t="s">
        <v>716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717</v>
      </c>
      <c r="B431">
        <v>3.8800000000000001E-2</v>
      </c>
      <c r="C431">
        <v>0.10349999999999999</v>
      </c>
      <c r="D431">
        <v>1.1599999999999999E-2</v>
      </c>
      <c r="P431" t="s">
        <v>717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718</v>
      </c>
      <c r="B432">
        <v>4.7E-2</v>
      </c>
      <c r="C432">
        <v>0.17949999999999999</v>
      </c>
      <c r="D432">
        <v>4.7599999999999899E-2</v>
      </c>
      <c r="P432" t="s">
        <v>718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719</v>
      </c>
      <c r="B433">
        <v>-2.12E-2</v>
      </c>
      <c r="C433">
        <v>7.46E-2</v>
      </c>
      <c r="D433">
        <v>-1.5699999999999999E-2</v>
      </c>
      <c r="P433" t="s">
        <v>719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720</v>
      </c>
      <c r="B434">
        <v>5.1699999999999899E-2</v>
      </c>
      <c r="C434">
        <v>1.5299999999999999E-2</v>
      </c>
      <c r="D434">
        <v>1.9E-2</v>
      </c>
      <c r="P434" t="s">
        <v>720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721</v>
      </c>
      <c r="B435">
        <v>-3.1099999999999999E-2</v>
      </c>
      <c r="C435">
        <v>-4.2999999999999997E-2</v>
      </c>
      <c r="D435">
        <v>-2.1399999999999999E-2</v>
      </c>
      <c r="P435" t="s">
        <v>721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722</v>
      </c>
      <c r="B436">
        <v>-9.8999999999999904E-3</v>
      </c>
      <c r="C436">
        <v>-5.3399999999999899E-2</v>
      </c>
      <c r="D436">
        <v>4.0000000000000002E-4</v>
      </c>
      <c r="P436" t="s">
        <v>722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723</v>
      </c>
      <c r="B437">
        <v>-2.4E-2</v>
      </c>
      <c r="C437">
        <v>-6.3299999999999995E-2</v>
      </c>
      <c r="D437">
        <v>-4.7E-2</v>
      </c>
      <c r="P437" t="s">
        <v>723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724</v>
      </c>
      <c r="B438">
        <v>6.5100000000000005E-2</v>
      </c>
      <c r="C438">
        <v>-3.9300000000000002E-2</v>
      </c>
      <c r="D438">
        <v>4.7500000000000001E-2</v>
      </c>
      <c r="P438" t="s">
        <v>724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725</v>
      </c>
      <c r="B439">
        <v>3.73E-2</v>
      </c>
      <c r="C439">
        <v>2.6800000000000001E-2</v>
      </c>
      <c r="D439">
        <v>-1.4E-3</v>
      </c>
      <c r="P439" t="s">
        <v>725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726</v>
      </c>
      <c r="B440">
        <v>8.1599999999999895E-2</v>
      </c>
      <c r="C440">
        <v>-2.8E-3</v>
      </c>
      <c r="D440">
        <v>-4.8599999999999997E-2</v>
      </c>
      <c r="P440" t="s">
        <v>726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727</v>
      </c>
      <c r="B441">
        <v>-4.3299999999999998E-2</v>
      </c>
      <c r="C441">
        <v>-4.48E-2</v>
      </c>
      <c r="D441">
        <v>-7.7999999999999996E-3</v>
      </c>
      <c r="P441" t="s">
        <v>727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728</v>
      </c>
      <c r="B442">
        <v>2.8799999999999999E-2</v>
      </c>
      <c r="C442">
        <v>-0.03</v>
      </c>
      <c r="D442">
        <v>-8.6499999999999994E-2</v>
      </c>
      <c r="P442" t="s">
        <v>728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729</v>
      </c>
      <c r="B443">
        <v>5.67E-2</v>
      </c>
      <c r="C443">
        <v>8.1999999999999906E-2</v>
      </c>
      <c r="D443">
        <v>8.6199999999999999E-2</v>
      </c>
      <c r="P443" t="s">
        <v>729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730</v>
      </c>
      <c r="B444">
        <v>-5.9400000000000001E-2</v>
      </c>
      <c r="C444">
        <v>-2.3199999999999998E-2</v>
      </c>
      <c r="D444">
        <v>4.0999999999999898E-2</v>
      </c>
      <c r="P444" t="s">
        <v>730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731</v>
      </c>
      <c r="B445">
        <v>-3.9199999999999999E-2</v>
      </c>
      <c r="C445">
        <v>1.13999999999999E-2</v>
      </c>
      <c r="D445">
        <v>5.9400000000000001E-2</v>
      </c>
      <c r="P445" t="s">
        <v>731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732</v>
      </c>
      <c r="B446">
        <v>5.04E-2</v>
      </c>
      <c r="C446">
        <v>-5.1399999999999897E-2</v>
      </c>
      <c r="D446">
        <v>-8.9999999999999998E-4</v>
      </c>
      <c r="P446" t="s">
        <v>732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733</v>
      </c>
      <c r="B447">
        <v>-2.0299999999999999E-2</v>
      </c>
      <c r="C447">
        <v>-4.6799999999999897E-2</v>
      </c>
      <c r="D447">
        <v>-3.8699999999999998E-2</v>
      </c>
      <c r="P447" t="s">
        <v>733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734</v>
      </c>
      <c r="B448">
        <v>7.5300000000000006E-2</v>
      </c>
      <c r="C448">
        <v>6.9500000000000006E-2</v>
      </c>
      <c r="D448">
        <v>4.6199999999999998E-2</v>
      </c>
      <c r="P448" t="s">
        <v>734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735</v>
      </c>
      <c r="B449">
        <v>-4.9399999999999999E-2</v>
      </c>
      <c r="C449">
        <v>-0.1249</v>
      </c>
      <c r="D449">
        <v>5.3800000000000001E-2</v>
      </c>
      <c r="P449" t="s">
        <v>735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736</v>
      </c>
      <c r="B450">
        <v>-2.1999999999999999E-2</v>
      </c>
      <c r="C450">
        <v>-8.2500000000000004E-2</v>
      </c>
      <c r="D450">
        <v>4.0199999999999902E-2</v>
      </c>
      <c r="P450" t="s">
        <v>736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737</v>
      </c>
      <c r="B451">
        <v>-0.1021</v>
      </c>
      <c r="C451">
        <v>-0.2344</v>
      </c>
      <c r="D451">
        <v>2.2599999999999999E-2</v>
      </c>
      <c r="P451" t="s">
        <v>737</v>
      </c>
      <c r="Q451">
        <f t="shared" si="18"/>
        <v>-0.1031</v>
      </c>
      <c r="R451">
        <f t="shared" si="19"/>
        <v>-0.2354</v>
      </c>
      <c r="S451">
        <f t="shared" si="20"/>
        <v>2.1599999999999998E-2</v>
      </c>
    </row>
    <row r="452" spans="1:19">
      <c r="A452" t="s">
        <v>738</v>
      </c>
      <c r="B452">
        <v>1.6899999999999998E-2</v>
      </c>
      <c r="C452">
        <v>-0.10879999999999999</v>
      </c>
      <c r="D452">
        <v>4.2699999999999898E-2</v>
      </c>
      <c r="P452" t="s">
        <v>738</v>
      </c>
      <c r="Q452">
        <f t="shared" ref="Q452:Q515" si="21">B452-0.001</f>
        <v>1.5899999999999997E-2</v>
      </c>
      <c r="R452">
        <f t="shared" ref="R452:R515" si="22">C452-0.001</f>
        <v>-0.10979999999999999</v>
      </c>
      <c r="S452">
        <f t="shared" ref="S452:S515" si="23">D452-0.001</f>
        <v>4.1699999999999897E-2</v>
      </c>
    </row>
    <row r="453" spans="1:19">
      <c r="A453" t="s">
        <v>739</v>
      </c>
      <c r="B453">
        <v>3.6700000000000003E-2</v>
      </c>
      <c r="C453">
        <v>0.35719999999999902</v>
      </c>
      <c r="D453">
        <v>-7.1300000000000002E-2</v>
      </c>
      <c r="P453" t="s">
        <v>739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740</v>
      </c>
      <c r="B454">
        <v>-9.6699999999999994E-2</v>
      </c>
      <c r="C454">
        <v>-0.19839999999999999</v>
      </c>
      <c r="D454">
        <v>3.8999999999999998E-3</v>
      </c>
      <c r="P454" t="s">
        <v>740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741</v>
      </c>
      <c r="B455">
        <v>-6.8400000000000002E-2</v>
      </c>
      <c r="C455">
        <v>-0.17579999999999901</v>
      </c>
      <c r="D455">
        <v>-3.4500000000000003E-2</v>
      </c>
      <c r="P455" t="s">
        <v>741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742</v>
      </c>
      <c r="B456">
        <v>8.3299999999999999E-2</v>
      </c>
      <c r="C456">
        <v>0.1489</v>
      </c>
      <c r="D456">
        <v>4.4400000000000002E-2</v>
      </c>
      <c r="P456" t="s">
        <v>742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743</v>
      </c>
      <c r="B457">
        <v>1.04E-2</v>
      </c>
      <c r="C457">
        <v>-5.8700000000000002E-2</v>
      </c>
      <c r="D457">
        <v>2.1600000000000001E-2</v>
      </c>
      <c r="P457" t="s">
        <v>743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744</v>
      </c>
      <c r="B458">
        <v>-1.66E-2</v>
      </c>
      <c r="C458">
        <v>0</v>
      </c>
      <c r="D458">
        <v>-4.6399999999999997E-2</v>
      </c>
      <c r="P458" t="s">
        <v>744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745</v>
      </c>
      <c r="B459">
        <v>-1.83E-2</v>
      </c>
      <c r="C459">
        <v>-6.6199999999999995E-2</v>
      </c>
      <c r="D459">
        <v>7.6E-3</v>
      </c>
      <c r="P459" t="s">
        <v>745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746</v>
      </c>
      <c r="B460">
        <v>-6.1499999999999999E-2</v>
      </c>
      <c r="C460">
        <v>-0.1459</v>
      </c>
      <c r="D460">
        <v>-1.39999999999999E-2</v>
      </c>
      <c r="P460" t="s">
        <v>746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747</v>
      </c>
      <c r="B461">
        <v>-8.9700000000000002E-2</v>
      </c>
      <c r="C461">
        <v>-0.22889999999999999</v>
      </c>
      <c r="D461">
        <v>-2.10999999999999E-2</v>
      </c>
      <c r="P461" t="s">
        <v>747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748</v>
      </c>
      <c r="B462">
        <v>2.6800000000000001E-2</v>
      </c>
      <c r="C462">
        <v>0.15740000000000001</v>
      </c>
      <c r="D462">
        <v>2.5000000000000001E-3</v>
      </c>
      <c r="P462" t="s">
        <v>748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749</v>
      </c>
      <c r="B463">
        <v>7.7100000000000002E-2</v>
      </c>
      <c r="C463">
        <v>0.20480000000000001</v>
      </c>
      <c r="D463">
        <v>2.0799999999999999E-2</v>
      </c>
      <c r="P463" t="s">
        <v>749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750</v>
      </c>
      <c r="B464">
        <v>1.7500000000000002E-2</v>
      </c>
      <c r="C464">
        <v>-7.09999999999999E-3</v>
      </c>
      <c r="D464">
        <v>1.16999999999999E-2</v>
      </c>
      <c r="P464" t="s">
        <v>750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751</v>
      </c>
      <c r="B465">
        <v>-1.2999999999999999E-2</v>
      </c>
      <c r="C465">
        <v>-1.55E-2</v>
      </c>
      <c r="D465">
        <v>-3.5999999999999999E-3</v>
      </c>
      <c r="P465" t="s">
        <v>751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752</v>
      </c>
      <c r="B466">
        <v>-2.1600000000000001E-2</v>
      </c>
      <c r="C466">
        <v>-0.17780000000000001</v>
      </c>
      <c r="D466">
        <v>2.0299999999999999E-2</v>
      </c>
      <c r="P466" t="s">
        <v>752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753</v>
      </c>
      <c r="B467">
        <v>4.3700000000000003E-2</v>
      </c>
      <c r="C467">
        <v>7.4499999999999997E-2</v>
      </c>
      <c r="D467">
        <v>3.8800000000000001E-2</v>
      </c>
      <c r="P467" t="s">
        <v>753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754</v>
      </c>
      <c r="B468">
        <v>-5.0500000000000003E-2</v>
      </c>
      <c r="C468">
        <v>-0.14029999999999901</v>
      </c>
      <c r="D468">
        <v>-2.0000000000000001E-4</v>
      </c>
      <c r="P468" t="s">
        <v>754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755</v>
      </c>
      <c r="B469">
        <v>-1.24E-2</v>
      </c>
      <c r="C469">
        <v>-7.2700000000000001E-2</v>
      </c>
      <c r="D469">
        <v>-1.5599999999999999E-2</v>
      </c>
      <c r="P469" t="s">
        <v>755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756</v>
      </c>
      <c r="B470">
        <v>-7.0800000000000002E-2</v>
      </c>
      <c r="C470">
        <v>-0.13719999999999999</v>
      </c>
      <c r="D470">
        <v>-7.6899999999999996E-2</v>
      </c>
      <c r="P470" t="s">
        <v>756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757</v>
      </c>
      <c r="B471">
        <v>-8.0299999999999996E-2</v>
      </c>
      <c r="C471">
        <v>-6.7500000000000004E-2</v>
      </c>
      <c r="D471">
        <v>-4.65E-2</v>
      </c>
      <c r="P471" t="s">
        <v>757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758</v>
      </c>
      <c r="B472">
        <v>6.4000000000000003E-3</v>
      </c>
      <c r="C472">
        <v>3.6900000000000002E-2</v>
      </c>
      <c r="D472">
        <v>2.12E-2</v>
      </c>
      <c r="P472" t="s">
        <v>758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759</v>
      </c>
      <c r="B473">
        <v>-0.1021</v>
      </c>
      <c r="C473">
        <v>-0.1638</v>
      </c>
      <c r="D473">
        <v>-7.0599999999999996E-2</v>
      </c>
      <c r="P473" t="s">
        <v>759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760</v>
      </c>
      <c r="B474">
        <v>7.9799999999999996E-2</v>
      </c>
      <c r="C474">
        <v>0.19989999999999999</v>
      </c>
      <c r="D474">
        <v>3.39E-2</v>
      </c>
      <c r="P474" t="s">
        <v>760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761</v>
      </c>
      <c r="B475">
        <v>6.08E-2</v>
      </c>
      <c r="C475">
        <v>0.22649999999999901</v>
      </c>
      <c r="D475">
        <v>1.11E-2</v>
      </c>
      <c r="P475" t="s">
        <v>761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762</v>
      </c>
      <c r="B476">
        <v>-5.6500000000000002E-2</v>
      </c>
      <c r="C476">
        <v>-0.1472</v>
      </c>
      <c r="D476">
        <v>-5.4000000000000003E-3</v>
      </c>
      <c r="P476" t="s">
        <v>762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763</v>
      </c>
      <c r="B477">
        <v>-2.4699999999999899E-2</v>
      </c>
      <c r="C477">
        <v>-3.6600000000000001E-2</v>
      </c>
      <c r="D477">
        <v>-2.7400000000000001E-2</v>
      </c>
      <c r="P477" t="s">
        <v>763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764</v>
      </c>
      <c r="B478">
        <v>-1.7899999999999899E-2</v>
      </c>
      <c r="C478">
        <v>1.44999999999999E-2</v>
      </c>
      <c r="D478">
        <v>-2.63E-2</v>
      </c>
      <c r="P478" t="s">
        <v>764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765</v>
      </c>
      <c r="B479">
        <v>1.1900000000000001E-2</v>
      </c>
      <c r="C479">
        <v>3.4999999999999901E-3</v>
      </c>
      <c r="D479">
        <v>1.4800000000000001E-2</v>
      </c>
      <c r="P479" t="s">
        <v>765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766</v>
      </c>
      <c r="B480">
        <v>8.3199999999999996E-2</v>
      </c>
      <c r="C480">
        <v>0.1976</v>
      </c>
      <c r="D480">
        <v>4.6899999999999997E-2</v>
      </c>
      <c r="P480" t="s">
        <v>766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767</v>
      </c>
      <c r="B481">
        <v>6.1399999999999899E-2</v>
      </c>
      <c r="C481">
        <v>0.21909999999999999</v>
      </c>
      <c r="D481">
        <v>5.33E-2</v>
      </c>
      <c r="P481" t="s">
        <v>767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768</v>
      </c>
      <c r="B482">
        <v>1.5199999999999899E-2</v>
      </c>
      <c r="C482">
        <v>2.1700000000000001E-2</v>
      </c>
      <c r="D482">
        <v>8.8000000000000005E-3</v>
      </c>
      <c r="P482" t="s">
        <v>768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769</v>
      </c>
      <c r="B483">
        <v>2.4199999999999999E-2</v>
      </c>
      <c r="C483">
        <v>5.2600000000000001E-2</v>
      </c>
      <c r="D483">
        <v>-1.77E-2</v>
      </c>
      <c r="P483" t="s">
        <v>769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770</v>
      </c>
      <c r="B484">
        <v>2.4099999999999899E-2</v>
      </c>
      <c r="C484">
        <v>3.7599999999999897E-2</v>
      </c>
      <c r="D484">
        <v>-5.1000000000000004E-3</v>
      </c>
      <c r="P484" t="s">
        <v>770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771</v>
      </c>
      <c r="B485">
        <v>-1.1599999999999999E-2</v>
      </c>
      <c r="C485">
        <v>-5.1000000000000004E-3</v>
      </c>
      <c r="D485">
        <v>9.1000000000000004E-3</v>
      </c>
      <c r="P485" t="s">
        <v>771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772</v>
      </c>
      <c r="B486">
        <v>6.1499999999999999E-2</v>
      </c>
      <c r="C486">
        <v>3.8399999999999997E-2</v>
      </c>
      <c r="D486">
        <v>4.0599999999999997E-2</v>
      </c>
      <c r="P486" t="s">
        <v>772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773</v>
      </c>
      <c r="B487">
        <v>1.4200000000000001E-2</v>
      </c>
      <c r="C487">
        <v>5.8999999999999999E-3</v>
      </c>
      <c r="D487">
        <v>2.3699999999999999E-2</v>
      </c>
      <c r="P487" t="s">
        <v>773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774</v>
      </c>
      <c r="B488">
        <v>4.3700000000000003E-2</v>
      </c>
      <c r="C488">
        <v>8.6499999999999994E-2</v>
      </c>
      <c r="D488">
        <v>5.0999999999999997E-2</v>
      </c>
      <c r="P488" t="s">
        <v>774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775</v>
      </c>
      <c r="B489">
        <v>2.21999999999999E-2</v>
      </c>
      <c r="C489">
        <v>2.41E-2</v>
      </c>
      <c r="D489">
        <v>1.16999999999999E-2</v>
      </c>
      <c r="P489" t="s">
        <v>775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776</v>
      </c>
      <c r="B490">
        <v>1.45999999999999E-2</v>
      </c>
      <c r="C490">
        <v>1.9799999999999901E-2</v>
      </c>
      <c r="D490">
        <v>2.2700000000000001E-2</v>
      </c>
      <c r="P490" t="s">
        <v>776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777</v>
      </c>
      <c r="B491">
        <v>-1.23E-2</v>
      </c>
      <c r="C491">
        <v>-1.84E-2</v>
      </c>
      <c r="D491">
        <v>-1.6799999999999999E-2</v>
      </c>
      <c r="P491" t="s">
        <v>777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778</v>
      </c>
      <c r="B492">
        <v>-1.7500000000000002E-2</v>
      </c>
      <c r="C492">
        <v>2.5000000000000001E-2</v>
      </c>
      <c r="D492">
        <v>8.8000000000000005E-3</v>
      </c>
      <c r="P492" t="s">
        <v>778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779</v>
      </c>
      <c r="B493">
        <v>1.22999999999999E-2</v>
      </c>
      <c r="C493">
        <v>-1.8E-3</v>
      </c>
      <c r="D493">
        <v>8.9999999999999998E-4</v>
      </c>
      <c r="P493" t="s">
        <v>779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780</v>
      </c>
      <c r="B494">
        <v>1.9400000000000001E-2</v>
      </c>
      <c r="C494">
        <v>1.09E-2</v>
      </c>
      <c r="D494">
        <v>1.5599999999999999E-2</v>
      </c>
      <c r="P494" t="s">
        <v>780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781</v>
      </c>
      <c r="B495">
        <v>-3.9599999999999899E-2</v>
      </c>
      <c r="C495">
        <v>-4.3299999999999998E-2</v>
      </c>
      <c r="D495">
        <v>-2.8999999999999901E-2</v>
      </c>
      <c r="P495" t="s">
        <v>781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782</v>
      </c>
      <c r="B496">
        <v>1.9E-3</v>
      </c>
      <c r="C496">
        <v>-5.0000000000000001E-4</v>
      </c>
      <c r="D496">
        <v>2.29E-2</v>
      </c>
      <c r="P496" t="s">
        <v>782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783</v>
      </c>
      <c r="B497">
        <v>1.7100000000000001E-2</v>
      </c>
      <c r="C497">
        <v>2.2099999999999901E-2</v>
      </c>
      <c r="D497">
        <v>-8.8999999999999999E-3</v>
      </c>
      <c r="P497" t="s">
        <v>783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784</v>
      </c>
      <c r="B498">
        <v>1.54E-2</v>
      </c>
      <c r="C498">
        <v>5.5899999999999998E-2</v>
      </c>
      <c r="D498">
        <v>3.5999999999999999E-3</v>
      </c>
      <c r="P498" t="s">
        <v>784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785</v>
      </c>
      <c r="B499">
        <v>4.6899999999999997E-2</v>
      </c>
      <c r="C499">
        <v>4.3799999999999999E-2</v>
      </c>
      <c r="D499">
        <v>4.2299999999999997E-2</v>
      </c>
      <c r="P499" t="s">
        <v>785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786</v>
      </c>
      <c r="B500">
        <v>3.5900000000000001E-2</v>
      </c>
      <c r="C500">
        <v>7.3700000000000002E-2</v>
      </c>
      <c r="D500">
        <v>3.1899999999999998E-2</v>
      </c>
      <c r="P500" t="s">
        <v>786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787</v>
      </c>
      <c r="B501">
        <v>-2.5999999999999999E-2</v>
      </c>
      <c r="C501">
        <v>-6.8099999999999994E-2</v>
      </c>
      <c r="D501">
        <v>-2.0400000000000001E-2</v>
      </c>
      <c r="P501" t="s">
        <v>787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788</v>
      </c>
      <c r="B502">
        <v>2.0500000000000001E-2</v>
      </c>
      <c r="C502">
        <v>4.1299999999999899E-2</v>
      </c>
      <c r="D502">
        <v>2.3900000000000001E-2</v>
      </c>
      <c r="P502" t="s">
        <v>788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789</v>
      </c>
      <c r="B503">
        <v>-1.75999999999999E-2</v>
      </c>
      <c r="C503">
        <v>-2.8999999999999901E-2</v>
      </c>
      <c r="D503">
        <v>-2.0000000000000001E-4</v>
      </c>
      <c r="P503" t="s">
        <v>789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790</v>
      </c>
      <c r="B504">
        <v>-2.39999999999999E-2</v>
      </c>
      <c r="C504">
        <v>-3.2599999999999997E-2</v>
      </c>
      <c r="D504">
        <v>-1.5E-3</v>
      </c>
      <c r="P504" t="s">
        <v>790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791</v>
      </c>
      <c r="B505">
        <v>3.8899999999999997E-2</v>
      </c>
      <c r="C505">
        <v>5.8799999999999998E-2</v>
      </c>
      <c r="D505">
        <v>1.9900000000000001E-2</v>
      </c>
      <c r="P505" t="s">
        <v>791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792</v>
      </c>
      <c r="B506">
        <v>8.0000000000000002E-3</v>
      </c>
      <c r="C506">
        <v>2.5999999999999999E-3</v>
      </c>
      <c r="D506">
        <v>6.09999999999999E-3</v>
      </c>
      <c r="P506" t="s">
        <v>792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793</v>
      </c>
      <c r="B507">
        <v>4.1599999999999998E-2</v>
      </c>
      <c r="C507">
        <v>7.0999999999999994E-2</v>
      </c>
      <c r="D507">
        <v>0.02</v>
      </c>
      <c r="P507" t="s">
        <v>793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794</v>
      </c>
      <c r="B508">
        <v>-9.1999999999999998E-3</v>
      </c>
      <c r="C508">
        <v>-3.0599999999999999E-2</v>
      </c>
      <c r="D508">
        <v>-1.77E-2</v>
      </c>
      <c r="P508" t="s">
        <v>794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795</v>
      </c>
      <c r="B509">
        <v>7.7999999999999996E-3</v>
      </c>
      <c r="C509">
        <v>-2.1999999999999999E-2</v>
      </c>
      <c r="D509">
        <v>-1.5E-3</v>
      </c>
      <c r="P509" t="s">
        <v>795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796</v>
      </c>
      <c r="B510">
        <v>-1.7499999999999901E-2</v>
      </c>
      <c r="C510">
        <v>-2.2499999999999999E-2</v>
      </c>
      <c r="D510">
        <v>-1.3100000000000001E-2</v>
      </c>
      <c r="P510" t="s">
        <v>796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797</v>
      </c>
      <c r="B511">
        <v>3.9199999999999999E-2</v>
      </c>
      <c r="C511">
        <v>3.5000000000000003E-2</v>
      </c>
      <c r="D511">
        <v>1.89E-2</v>
      </c>
      <c r="P511" t="s">
        <v>797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798</v>
      </c>
      <c r="B512">
        <v>6.9999999999999999E-4</v>
      </c>
      <c r="C512">
        <v>-2.8E-3</v>
      </c>
      <c r="D512">
        <v>1.13999999999999E-2</v>
      </c>
      <c r="P512" t="s">
        <v>798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799</v>
      </c>
      <c r="B513">
        <v>3.39E-2</v>
      </c>
      <c r="C513">
        <v>6.6900000000000001E-2</v>
      </c>
      <c r="D513">
        <v>2.3099999999999999E-2</v>
      </c>
      <c r="P513" t="s">
        <v>799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800</v>
      </c>
      <c r="B514">
        <v>4.0000000000000002E-4</v>
      </c>
      <c r="C514">
        <v>-1.0800000000000001E-2</v>
      </c>
      <c r="D514">
        <v>8.0000000000000004E-4</v>
      </c>
      <c r="P514" t="s">
        <v>800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801</v>
      </c>
      <c r="B515">
        <v>1.83E-2</v>
      </c>
      <c r="C515">
        <v>1.8599999999999998E-2</v>
      </c>
      <c r="D515">
        <v>5.3E-3</v>
      </c>
      <c r="P515" t="s">
        <v>801</v>
      </c>
      <c r="Q515">
        <f t="shared" si="21"/>
        <v>1.7299999999999999E-2</v>
      </c>
      <c r="R515">
        <f t="shared" si="22"/>
        <v>1.7599999999999998E-2</v>
      </c>
      <c r="S515">
        <f t="shared" si="23"/>
        <v>4.3E-3</v>
      </c>
    </row>
    <row r="516" spans="1:19">
      <c r="A516" t="s">
        <v>802</v>
      </c>
      <c r="B516">
        <v>1.09E-2</v>
      </c>
      <c r="C516">
        <v>8.6999999999999994E-3</v>
      </c>
      <c r="D516">
        <v>8.8000000000000005E-3</v>
      </c>
      <c r="P516" t="s">
        <v>802</v>
      </c>
      <c r="Q516">
        <f t="shared" ref="Q516:Q579" si="24">B516-0.001</f>
        <v>9.8999999999999991E-3</v>
      </c>
      <c r="R516">
        <f t="shared" ref="R516:R579" si="25">C516-0.001</f>
        <v>7.6999999999999994E-3</v>
      </c>
      <c r="S516">
        <f t="shared" ref="S516:S579" si="26">D516-0.001</f>
        <v>7.8000000000000005E-3</v>
      </c>
    </row>
    <row r="517" spans="1:19">
      <c r="A517" t="s">
        <v>803</v>
      </c>
      <c r="B517">
        <v>-3.1399999999999997E-2</v>
      </c>
      <c r="C517">
        <v>-1.66E-2</v>
      </c>
      <c r="D517">
        <v>-1.15E-2</v>
      </c>
      <c r="P517" t="s">
        <v>803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804</v>
      </c>
      <c r="B518">
        <v>5.0000000000000001E-4</v>
      </c>
      <c r="C518">
        <v>-2.8999999999999998E-3</v>
      </c>
      <c r="D518">
        <v>3.5999999999999999E-3</v>
      </c>
      <c r="P518" t="s">
        <v>804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805</v>
      </c>
      <c r="B519">
        <v>-3.8E-3</v>
      </c>
      <c r="C519">
        <v>-5.04E-2</v>
      </c>
      <c r="D519">
        <v>2.81E-2</v>
      </c>
      <c r="P519" t="s">
        <v>805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806</v>
      </c>
      <c r="B520">
        <v>2.44999999999999E-2</v>
      </c>
      <c r="C520">
        <v>6.6799999999999998E-2</v>
      </c>
      <c r="D520">
        <v>2.3300000000000001E-2</v>
      </c>
      <c r="P520" t="s">
        <v>806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807</v>
      </c>
      <c r="B521">
        <v>2.2499999999999999E-2</v>
      </c>
      <c r="C521">
        <v>2.2499999999999999E-2</v>
      </c>
      <c r="D521">
        <v>1.87999999999999E-2</v>
      </c>
      <c r="P521" t="s">
        <v>807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808</v>
      </c>
      <c r="B522">
        <v>3.6400000000000002E-2</v>
      </c>
      <c r="C522">
        <v>5.7299999999999997E-2</v>
      </c>
      <c r="D522">
        <v>2.6699999999999901E-2</v>
      </c>
      <c r="P522" t="s">
        <v>808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809</v>
      </c>
      <c r="B523">
        <v>2.1299999999999999E-2</v>
      </c>
      <c r="C523">
        <v>5.4100000000000002E-2</v>
      </c>
      <c r="D523">
        <v>9.5999999999999992E-3</v>
      </c>
      <c r="P523" t="s">
        <v>809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810</v>
      </c>
      <c r="B524">
        <v>1.2699999999999999E-2</v>
      </c>
      <c r="C524">
        <v>-8.0999999999999996E-3</v>
      </c>
      <c r="D524">
        <v>1.11E-2</v>
      </c>
      <c r="P524" t="s">
        <v>810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811</v>
      </c>
      <c r="B525">
        <v>1.84E-2</v>
      </c>
      <c r="C525">
        <v>2.7300000000000001E-2</v>
      </c>
      <c r="D525">
        <v>8.8000000000000005E-3</v>
      </c>
      <c r="P525" t="s">
        <v>811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812</v>
      </c>
      <c r="B526">
        <v>-1.5799999999999901E-2</v>
      </c>
      <c r="C526">
        <v>-2.8E-3</v>
      </c>
      <c r="D526">
        <v>-1.9599999999999999E-2</v>
      </c>
      <c r="P526" t="s">
        <v>812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813</v>
      </c>
      <c r="B527">
        <v>1.11E-2</v>
      </c>
      <c r="C527">
        <v>-1.23E-2</v>
      </c>
      <c r="D527">
        <v>6.0000000000000001E-3</v>
      </c>
      <c r="P527" t="s">
        <v>813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814</v>
      </c>
      <c r="B528">
        <v>3.9300000000000002E-2</v>
      </c>
      <c r="C528">
        <v>3.8699999999999998E-2</v>
      </c>
      <c r="D528">
        <v>3.9899999999999998E-2</v>
      </c>
      <c r="P528" t="s">
        <v>814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815</v>
      </c>
      <c r="B529">
        <v>3.6499999999999998E-2</v>
      </c>
      <c r="C529">
        <v>3.2399999999999998E-2</v>
      </c>
      <c r="D529">
        <v>2.52E-2</v>
      </c>
      <c r="P529" t="s">
        <v>815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816</v>
      </c>
      <c r="B530">
        <v>-1.5599999999999999E-2</v>
      </c>
      <c r="C530">
        <v>-3.02999999999999E-2</v>
      </c>
      <c r="D530">
        <v>-2.1899999999999999E-2</v>
      </c>
      <c r="P530" t="s">
        <v>816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817</v>
      </c>
      <c r="B531">
        <v>-3.3299999999999899E-2</v>
      </c>
      <c r="C531">
        <v>-4.48E-2</v>
      </c>
      <c r="D531">
        <v>-3.0599999999999999E-2</v>
      </c>
      <c r="P531" t="s">
        <v>817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818</v>
      </c>
      <c r="B532">
        <v>1.33999999999999E-2</v>
      </c>
      <c r="C532">
        <v>-1.0999999999999999E-2</v>
      </c>
      <c r="D532">
        <v>2.4299999999999999E-2</v>
      </c>
      <c r="P532" t="s">
        <v>818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819</v>
      </c>
      <c r="B533">
        <v>3.5400000000000001E-2</v>
      </c>
      <c r="C533">
        <v>1.5800000000000002E-2</v>
      </c>
      <c r="D533">
        <v>2.9499999999999998E-2</v>
      </c>
      <c r="P533" t="s">
        <v>819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820</v>
      </c>
      <c r="B534">
        <v>2.12E-2</v>
      </c>
      <c r="C534">
        <v>-1.01E-2</v>
      </c>
      <c r="D534">
        <v>1.67E-2</v>
      </c>
      <c r="P534" t="s">
        <v>820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821</v>
      </c>
      <c r="B535">
        <v>-4.4900000000000002E-2</v>
      </c>
      <c r="C535">
        <v>-0.13439999999999999</v>
      </c>
      <c r="D535">
        <v>-1.95E-2</v>
      </c>
      <c r="P535" t="s">
        <v>821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822</v>
      </c>
      <c r="B536">
        <v>-5.9999999999999897E-3</v>
      </c>
      <c r="C536">
        <v>-6.9000000000000006E-2</v>
      </c>
      <c r="D536">
        <v>-1.89E-2</v>
      </c>
      <c r="P536" t="s">
        <v>822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823</v>
      </c>
      <c r="B537">
        <v>-6.1499999999999999E-2</v>
      </c>
      <c r="C537">
        <v>3.9300000000000002E-2</v>
      </c>
      <c r="D537">
        <v>-3.5900000000000001E-2</v>
      </c>
      <c r="P537" t="s">
        <v>823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824</v>
      </c>
      <c r="B538">
        <v>-2.9599999999999901E-2</v>
      </c>
      <c r="C538">
        <v>-0.1255</v>
      </c>
      <c r="D538">
        <v>-3.0200000000000001E-2</v>
      </c>
      <c r="P538" t="s">
        <v>824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825</v>
      </c>
      <c r="B539">
        <v>-7.6E-3</v>
      </c>
      <c r="C539">
        <v>-0.1024</v>
      </c>
      <c r="D539">
        <v>-1.1000000000000001E-3</v>
      </c>
      <c r="P539" t="s">
        <v>825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826</v>
      </c>
      <c r="B540">
        <v>4.7800000000000002E-2</v>
      </c>
      <c r="C540">
        <v>8.2899999999999904E-2</v>
      </c>
      <c r="D540">
        <v>1.49E-2</v>
      </c>
      <c r="P540" t="s">
        <v>826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827</v>
      </c>
      <c r="B541">
        <v>2.0400000000000001E-2</v>
      </c>
      <c r="C541">
        <v>-2.52E-2</v>
      </c>
      <c r="D541">
        <v>7.7999999999999996E-3</v>
      </c>
      <c r="P541" t="s">
        <v>827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828</v>
      </c>
      <c r="B542">
        <v>-8.2699999999999996E-2</v>
      </c>
      <c r="C542">
        <v>-0.19469999999999901</v>
      </c>
      <c r="D542">
        <v>-8.2899999999999904E-2</v>
      </c>
      <c r="P542" t="s">
        <v>828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829</v>
      </c>
      <c r="B543">
        <v>-6.1999999999999998E-3</v>
      </c>
      <c r="C543">
        <v>4.3E-3</v>
      </c>
      <c r="D543">
        <v>-5.3E-3</v>
      </c>
      <c r="P543" t="s">
        <v>829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830</v>
      </c>
      <c r="B544">
        <v>1.66E-2</v>
      </c>
      <c r="C544">
        <v>-5.0199999999999897E-2</v>
      </c>
      <c r="D544">
        <v>1.3899999999999999E-2</v>
      </c>
      <c r="P544" t="s">
        <v>830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831</v>
      </c>
      <c r="B545">
        <v>-9.0899999999999995E-2</v>
      </c>
      <c r="C545">
        <v>-0.2346</v>
      </c>
      <c r="D545">
        <v>-4.3400000000000001E-2</v>
      </c>
      <c r="P545" t="s">
        <v>831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832</v>
      </c>
      <c r="B546">
        <v>-0.17150000000000001</v>
      </c>
      <c r="C546">
        <v>-0.2601</v>
      </c>
      <c r="D546">
        <v>-0.12889999999999999</v>
      </c>
      <c r="P546" t="s">
        <v>832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833</v>
      </c>
      <c r="B547">
        <v>-7.8299999999999995E-2</v>
      </c>
      <c r="C547">
        <v>-0.20199999999999901</v>
      </c>
      <c r="D547">
        <v>-3.0499999999999999E-2</v>
      </c>
      <c r="P547" t="s">
        <v>833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834</v>
      </c>
      <c r="B548">
        <v>1.7399999999999999E-2</v>
      </c>
      <c r="C548">
        <v>3.9800000000000002E-2</v>
      </c>
      <c r="D548">
        <v>1.4E-3</v>
      </c>
      <c r="P548" t="s">
        <v>834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835</v>
      </c>
      <c r="B549">
        <v>-8.1199999999999994E-2</v>
      </c>
      <c r="C549">
        <v>-8.2899999999999904E-2</v>
      </c>
      <c r="D549">
        <v>-8.3599999999999994E-2</v>
      </c>
      <c r="P549" t="s">
        <v>835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836</v>
      </c>
      <c r="B550">
        <v>-0.100899999999999</v>
      </c>
      <c r="C550">
        <v>-0.26129999999999998</v>
      </c>
      <c r="D550">
        <v>-9.9900000000000003E-2</v>
      </c>
      <c r="P550" t="s">
        <v>836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837</v>
      </c>
      <c r="B551">
        <v>8.9700000000000002E-2</v>
      </c>
      <c r="C551">
        <v>0.44490000000000002</v>
      </c>
      <c r="D551">
        <v>5.8799999999999998E-2</v>
      </c>
      <c r="P551" t="s">
        <v>837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838</v>
      </c>
      <c r="B552">
        <v>0.1019</v>
      </c>
      <c r="C552">
        <v>0.44890000000000002</v>
      </c>
      <c r="D552">
        <v>4.2000000000000003E-2</v>
      </c>
      <c r="P552" t="s">
        <v>838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839</v>
      </c>
      <c r="B553">
        <v>5.21E-2</v>
      </c>
      <c r="C553">
        <v>0.2165</v>
      </c>
      <c r="D553">
        <v>5.7299999999999997E-2</v>
      </c>
      <c r="P553" t="s">
        <v>839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840</v>
      </c>
      <c r="B554">
        <v>4.4000000000000003E-3</v>
      </c>
      <c r="C554">
        <v>-6.3200000000000006E-2</v>
      </c>
      <c r="D554">
        <v>-2.0999999999999999E-3</v>
      </c>
      <c r="P554" t="s">
        <v>840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841</v>
      </c>
      <c r="B555">
        <v>7.7299999999999994E-2</v>
      </c>
      <c r="C555">
        <v>0.124</v>
      </c>
      <c r="D555">
        <v>4.7699999999999902E-2</v>
      </c>
      <c r="P555" t="s">
        <v>841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842</v>
      </c>
      <c r="B556">
        <v>3.3399999999999999E-2</v>
      </c>
      <c r="C556">
        <v>0.25979999999999998</v>
      </c>
      <c r="D556">
        <v>1.04E-2</v>
      </c>
      <c r="P556" t="s">
        <v>842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843</v>
      </c>
      <c r="B557">
        <v>4.0899999999999999E-2</v>
      </c>
      <c r="C557">
        <v>8.8399999999999895E-2</v>
      </c>
      <c r="D557">
        <v>2.1600000000000001E-2</v>
      </c>
      <c r="P557" t="s">
        <v>843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844</v>
      </c>
      <c r="B558">
        <v>-2.5899999999999999E-2</v>
      </c>
      <c r="C558">
        <v>-0.13300000000000001</v>
      </c>
      <c r="D558">
        <v>-8.3999999999999995E-3</v>
      </c>
      <c r="P558" t="s">
        <v>844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845</v>
      </c>
      <c r="B559">
        <v>5.5599999999999997E-2</v>
      </c>
      <c r="C559">
        <v>5.0099999999999999E-2</v>
      </c>
      <c r="D559">
        <v>5.8799999999999998E-2</v>
      </c>
      <c r="P559" t="s">
        <v>845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846</v>
      </c>
      <c r="B560">
        <v>2.76E-2</v>
      </c>
      <c r="C560">
        <v>1.39999999999999E-2</v>
      </c>
      <c r="D560">
        <v>5.7999999999999996E-3</v>
      </c>
      <c r="P560" t="s">
        <v>846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847</v>
      </c>
      <c r="B561">
        <v>-3.3599999999999998E-2</v>
      </c>
      <c r="C561">
        <v>0.02</v>
      </c>
      <c r="D561">
        <v>-2.24E-2</v>
      </c>
      <c r="P561" t="s">
        <v>847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848</v>
      </c>
      <c r="B562">
        <v>3.4000000000000002E-2</v>
      </c>
      <c r="C562">
        <v>1.41999999999999E-2</v>
      </c>
      <c r="D562">
        <v>1.49E-2</v>
      </c>
      <c r="P562" t="s">
        <v>848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849</v>
      </c>
      <c r="B563">
        <v>6.3199999999999895E-2</v>
      </c>
      <c r="C563">
        <v>4.8799999999999899E-2</v>
      </c>
      <c r="D563">
        <v>4.0800000000000003E-2</v>
      </c>
      <c r="P563" t="s">
        <v>849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850</v>
      </c>
      <c r="B564">
        <v>2.01E-2</v>
      </c>
      <c r="C564">
        <v>6.7999999999999996E-3</v>
      </c>
      <c r="D564">
        <v>5.7999999999999996E-3</v>
      </c>
      <c r="P564" t="s">
        <v>850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851</v>
      </c>
      <c r="B565">
        <v>-7.8799999999999995E-2</v>
      </c>
      <c r="C565">
        <v>-8.6199999999999999E-2</v>
      </c>
      <c r="D565">
        <v>-6.3399999999999998E-2</v>
      </c>
      <c r="P565" t="s">
        <v>851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852</v>
      </c>
      <c r="B566">
        <v>-5.5599999999999997E-2</v>
      </c>
      <c r="C566">
        <v>-6.4699999999999994E-2</v>
      </c>
      <c r="D566">
        <v>-2.9899999999999999E-2</v>
      </c>
      <c r="P566" t="s">
        <v>852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853</v>
      </c>
      <c r="B567">
        <v>6.9400000000000003E-2</v>
      </c>
      <c r="C567">
        <v>6.9500000000000006E-2</v>
      </c>
      <c r="D567">
        <v>5.2299999999999999E-2</v>
      </c>
      <c r="P567" t="s">
        <v>853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854</v>
      </c>
      <c r="B568">
        <v>-4.7599999999999899E-2</v>
      </c>
      <c r="C568">
        <v>-4.2799999999999998E-2</v>
      </c>
      <c r="D568">
        <v>-9.2999999999999992E-3</v>
      </c>
      <c r="P568" t="s">
        <v>854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855</v>
      </c>
      <c r="B569">
        <v>9.5499999999999904E-2</v>
      </c>
      <c r="C569">
        <v>0.1096</v>
      </c>
      <c r="D569">
        <v>6.5000000000000002E-2</v>
      </c>
      <c r="P569" t="s">
        <v>855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856</v>
      </c>
      <c r="B570">
        <v>3.8899999999999997E-2</v>
      </c>
      <c r="C570">
        <v>3.8899999999999997E-2</v>
      </c>
      <c r="D570">
        <v>2.76E-2</v>
      </c>
      <c r="P570" t="s">
        <v>856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857</v>
      </c>
      <c r="B571">
        <v>6.1000000000000004E-3</v>
      </c>
      <c r="C571">
        <v>-9.8999999999999904E-3</v>
      </c>
      <c r="D571">
        <v>-6.9999999999999897E-3</v>
      </c>
      <c r="P571" t="s">
        <v>857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858</v>
      </c>
      <c r="B572">
        <v>6.83E-2</v>
      </c>
      <c r="C572">
        <v>0.13949999999999901</v>
      </c>
      <c r="D572">
        <v>4.5899999999999899E-2</v>
      </c>
      <c r="P572" t="s">
        <v>858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859</v>
      </c>
      <c r="B573">
        <v>0.02</v>
      </c>
      <c r="C573">
        <v>4.1099999999999998E-2</v>
      </c>
      <c r="D573">
        <v>8.9999999999999993E-3</v>
      </c>
      <c r="P573" t="s">
        <v>859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860</v>
      </c>
      <c r="B574">
        <v>3.5000000000000003E-2</v>
      </c>
      <c r="C574">
        <v>1.0699999999999999E-2</v>
      </c>
      <c r="D574">
        <v>3.3799999999999997E-2</v>
      </c>
      <c r="P574" t="s">
        <v>860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861</v>
      </c>
      <c r="B575">
        <v>4.7000000000000002E-3</v>
      </c>
      <c r="C575">
        <v>-1.67E-2</v>
      </c>
      <c r="D575">
        <v>1.41E-2</v>
      </c>
      <c r="P575" t="s">
        <v>861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862</v>
      </c>
      <c r="B576">
        <v>2.8999999999999901E-2</v>
      </c>
      <c r="C576">
        <v>-1.4E-3</v>
      </c>
      <c r="D576">
        <v>3.78E-2</v>
      </c>
      <c r="P576" t="s">
        <v>862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863</v>
      </c>
      <c r="B577">
        <v>-1.2699999999999999E-2</v>
      </c>
      <c r="C577">
        <v>-3.5699999999999898E-2</v>
      </c>
      <c r="D577">
        <v>5.6999999999999898E-3</v>
      </c>
      <c r="P577" t="s">
        <v>863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864</v>
      </c>
      <c r="B578">
        <v>-1.7500000000000002E-2</v>
      </c>
      <c r="C578">
        <v>-5.3199999999999997E-2</v>
      </c>
      <c r="D578">
        <v>-1.41E-2</v>
      </c>
      <c r="P578" t="s">
        <v>864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865</v>
      </c>
      <c r="B579">
        <v>-2.35E-2</v>
      </c>
      <c r="C579">
        <v>-4.1500000000000002E-2</v>
      </c>
      <c r="D579">
        <v>-2.4299999999999999E-2</v>
      </c>
      <c r="P579" t="s">
        <v>865</v>
      </c>
      <c r="Q579">
        <f t="shared" si="24"/>
        <v>-2.4500000000000001E-2</v>
      </c>
      <c r="R579">
        <f t="shared" si="25"/>
        <v>-4.2500000000000003E-2</v>
      </c>
      <c r="S579">
        <f t="shared" si="26"/>
        <v>-2.53E-2</v>
      </c>
    </row>
    <row r="580" spans="1:19">
      <c r="A580" t="s">
        <v>866</v>
      </c>
      <c r="B580">
        <v>-5.9799999999999999E-2</v>
      </c>
      <c r="C580">
        <v>-0.1389</v>
      </c>
      <c r="D580">
        <v>-1.23E-2</v>
      </c>
      <c r="P580" t="s">
        <v>866</v>
      </c>
      <c r="Q580">
        <f t="shared" ref="Q580:Q643" si="27">B580-0.001</f>
        <v>-6.08E-2</v>
      </c>
      <c r="R580">
        <f t="shared" ref="R580:R643" si="28">C580-0.001</f>
        <v>-0.1399</v>
      </c>
      <c r="S580">
        <f t="shared" ref="S580:S643" si="29">D580-0.001</f>
        <v>-1.3299999999999999E-2</v>
      </c>
    </row>
    <row r="581" spans="1:19">
      <c r="A581" t="s">
        <v>867</v>
      </c>
      <c r="B581">
        <v>-7.5899999999999995E-2</v>
      </c>
      <c r="C581">
        <v>-0.1183</v>
      </c>
      <c r="D581">
        <v>-3.2300000000000002E-2</v>
      </c>
      <c r="P581" t="s">
        <v>867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868</v>
      </c>
      <c r="B582">
        <v>0.113499999999999</v>
      </c>
      <c r="C582">
        <v>0.15820000000000001</v>
      </c>
      <c r="D582">
        <v>6.2899999999999998E-2</v>
      </c>
      <c r="P582" t="s">
        <v>868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869</v>
      </c>
      <c r="B583">
        <v>-2.8E-3</v>
      </c>
      <c r="C583">
        <v>-7.6499999999999999E-2</v>
      </c>
      <c r="D583">
        <v>1.3299999999999999E-2</v>
      </c>
      <c r="P583" t="s">
        <v>869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870</v>
      </c>
      <c r="B584">
        <v>7.4000000000000003E-3</v>
      </c>
      <c r="C584">
        <v>-3.1199999999999999E-2</v>
      </c>
      <c r="D584">
        <v>0.03</v>
      </c>
      <c r="P584" t="s">
        <v>870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871</v>
      </c>
      <c r="B585">
        <v>5.0499999999999899E-2</v>
      </c>
      <c r="C585">
        <v>0.18429999999999999</v>
      </c>
      <c r="D585">
        <v>4.8999999999999998E-3</v>
      </c>
      <c r="P585" t="s">
        <v>871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872</v>
      </c>
      <c r="B586">
        <v>4.4199999999999899E-2</v>
      </c>
      <c r="C586">
        <v>6.6199999999999995E-2</v>
      </c>
      <c r="D586">
        <v>1.9299999999999901E-2</v>
      </c>
      <c r="P586" t="s">
        <v>872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873</v>
      </c>
      <c r="B587">
        <v>3.1099999999999999E-2</v>
      </c>
      <c r="C587">
        <v>4.0999999999999898E-2</v>
      </c>
      <c r="D587">
        <v>2.5600000000000001E-2</v>
      </c>
      <c r="P587" t="s">
        <v>873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874</v>
      </c>
      <c r="B588">
        <v>-8.5000000000000006E-3</v>
      </c>
      <c r="C588">
        <v>-6.3099999999999906E-2</v>
      </c>
      <c r="D588">
        <v>6.6E-3</v>
      </c>
      <c r="P588" t="s">
        <v>874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875</v>
      </c>
      <c r="B589">
        <v>-6.1800000000000001E-2</v>
      </c>
      <c r="C589">
        <v>-0.13100000000000001</v>
      </c>
      <c r="D589">
        <v>-2.1399999999999999E-2</v>
      </c>
      <c r="P589" t="s">
        <v>875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876</v>
      </c>
      <c r="B590">
        <v>3.8899999999999997E-2</v>
      </c>
      <c r="C590">
        <v>3.4799999999999998E-2</v>
      </c>
      <c r="D590">
        <v>5.0299999999999997E-2</v>
      </c>
      <c r="P590" t="s">
        <v>876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877</v>
      </c>
      <c r="B591">
        <v>7.9000000000000008E-3</v>
      </c>
      <c r="C591">
        <v>-1.9799999999999901E-2</v>
      </c>
      <c r="D591">
        <v>2.1299999999999999E-2</v>
      </c>
      <c r="P591" t="s">
        <v>877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878</v>
      </c>
      <c r="B592">
        <v>2.5599999999999901E-2</v>
      </c>
      <c r="C592">
        <v>2.2599999999999999E-2</v>
      </c>
      <c r="D592">
        <v>-1.6999999999999999E-3</v>
      </c>
      <c r="P592" t="s">
        <v>878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879</v>
      </c>
      <c r="B593">
        <v>2.7400000000000001E-2</v>
      </c>
      <c r="C593">
        <v>3.5299999999999998E-2</v>
      </c>
      <c r="D593">
        <v>3.1099999999999999E-2</v>
      </c>
      <c r="P593" t="s">
        <v>879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880</v>
      </c>
      <c r="B594">
        <v>-1.7500000000000002E-2</v>
      </c>
      <c r="C594">
        <v>-4.07E-2</v>
      </c>
      <c r="D594">
        <v>-1.41999999999999E-2</v>
      </c>
      <c r="P594" t="s">
        <v>880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881</v>
      </c>
      <c r="B595">
        <v>7.9000000000000008E-3</v>
      </c>
      <c r="C595">
        <v>-1.6500000000000001E-2</v>
      </c>
      <c r="D595">
        <v>5.9999999999999995E-4</v>
      </c>
      <c r="P595" t="s">
        <v>881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882</v>
      </c>
      <c r="B596">
        <v>1.18999999999999E-2</v>
      </c>
      <c r="C596">
        <v>6.2300000000000001E-2</v>
      </c>
      <c r="D596">
        <v>-9.39999999999999E-3</v>
      </c>
      <c r="P596" t="s">
        <v>882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883</v>
      </c>
      <c r="B597">
        <v>5.57E-2</v>
      </c>
      <c r="C597">
        <v>9.2699999999999894E-2</v>
      </c>
      <c r="D597">
        <v>5.8499999999999899E-2</v>
      </c>
      <c r="P597" t="s">
        <v>883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884</v>
      </c>
      <c r="B598">
        <v>1.29E-2</v>
      </c>
      <c r="C598">
        <v>-7.3000000000000001E-3</v>
      </c>
      <c r="D598">
        <v>2.3199999999999998E-2</v>
      </c>
      <c r="P598" t="s">
        <v>884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885</v>
      </c>
      <c r="B599">
        <v>4.0300000000000002E-2</v>
      </c>
      <c r="C599">
        <v>5.7099999999999998E-2</v>
      </c>
      <c r="D599">
        <v>4.87E-2</v>
      </c>
      <c r="P599" t="s">
        <v>885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886</v>
      </c>
      <c r="B600">
        <v>1.55E-2</v>
      </c>
      <c r="C600">
        <v>8.1999999999999903E-3</v>
      </c>
      <c r="D600">
        <v>2.3799999999999901E-2</v>
      </c>
      <c r="P600" t="s">
        <v>886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887</v>
      </c>
      <c r="B601">
        <v>2.79999999999999E-2</v>
      </c>
      <c r="C601">
        <v>4.1599999999999998E-2</v>
      </c>
      <c r="D601">
        <v>-6.6E-3</v>
      </c>
      <c r="P601" t="s">
        <v>887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888</v>
      </c>
      <c r="B602">
        <v>-1.2E-2</v>
      </c>
      <c r="C602">
        <v>-6.4000000000000001E-2</v>
      </c>
      <c r="D602">
        <v>-6.09999999999999E-3</v>
      </c>
      <c r="P602" t="s">
        <v>888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889</v>
      </c>
      <c r="B603">
        <v>5.6500000000000002E-2</v>
      </c>
      <c r="C603">
        <v>0.11990000000000001</v>
      </c>
      <c r="D603">
        <v>4.8099999999999997E-2</v>
      </c>
      <c r="P603" t="s">
        <v>889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890</v>
      </c>
      <c r="B604">
        <v>-2.7099999999999999E-2</v>
      </c>
      <c r="C604">
        <v>2.8799999999999999E-2</v>
      </c>
      <c r="D604">
        <v>-4.1399999999999999E-2</v>
      </c>
      <c r="P604" t="s">
        <v>890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891</v>
      </c>
      <c r="B605">
        <v>3.7699999999999997E-2</v>
      </c>
      <c r="C605">
        <v>1.09E-2</v>
      </c>
      <c r="D605">
        <v>1.9099999999999999E-2</v>
      </c>
      <c r="P605" t="s">
        <v>891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892</v>
      </c>
      <c r="B606">
        <v>4.1799999999999997E-2</v>
      </c>
      <c r="C606">
        <v>3.6499999999999998E-2</v>
      </c>
      <c r="D606">
        <v>4.2299999999999997E-2</v>
      </c>
      <c r="P606" t="s">
        <v>892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893</v>
      </c>
      <c r="B607">
        <v>3.1300000000000001E-2</v>
      </c>
      <c r="C607">
        <v>2.9899999999999999E-2</v>
      </c>
      <c r="D607">
        <v>2.5899999999999999E-2</v>
      </c>
      <c r="P607" t="s">
        <v>893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894</v>
      </c>
      <c r="B608">
        <v>2.81E-2</v>
      </c>
      <c r="C608">
        <v>2.8899999999999999E-2</v>
      </c>
      <c r="D608">
        <v>1.1599999999999999E-2</v>
      </c>
      <c r="P608" t="s">
        <v>894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895</v>
      </c>
      <c r="B609">
        <v>-3.32E-2</v>
      </c>
      <c r="C609">
        <v>-3.9599999999999899E-2</v>
      </c>
      <c r="D609">
        <v>-3.08999999999999E-2</v>
      </c>
      <c r="P609" t="s">
        <v>895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896</v>
      </c>
      <c r="B610">
        <v>4.65E-2</v>
      </c>
      <c r="C610">
        <v>5.1699999999999899E-2</v>
      </c>
      <c r="D610">
        <v>4.07E-2</v>
      </c>
      <c r="P610" t="s">
        <v>896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897</v>
      </c>
      <c r="B611">
        <v>4.3E-3</v>
      </c>
      <c r="C611">
        <v>1.5699999999999999E-2</v>
      </c>
      <c r="D611">
        <v>1.44999999999999E-2</v>
      </c>
      <c r="P611" t="s">
        <v>897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898</v>
      </c>
      <c r="B612">
        <v>-1.9E-3</v>
      </c>
      <c r="C612">
        <v>8.8999999999999999E-3</v>
      </c>
      <c r="D612">
        <v>2.1499999999999998E-2</v>
      </c>
      <c r="P612" t="s">
        <v>898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899</v>
      </c>
      <c r="B613">
        <v>2.06E-2</v>
      </c>
      <c r="C613">
        <v>1.7999999999999999E-2</v>
      </c>
      <c r="D613">
        <v>5.3E-3</v>
      </c>
      <c r="P613" t="s">
        <v>899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900</v>
      </c>
      <c r="B614">
        <v>2.6099999999999901E-2</v>
      </c>
      <c r="C614">
        <v>6.0499999999999998E-2</v>
      </c>
      <c r="D614">
        <v>1.4800000000000001E-2</v>
      </c>
      <c r="P614" t="s">
        <v>900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901</v>
      </c>
      <c r="B615">
        <v>-2.0400000000000001E-2</v>
      </c>
      <c r="C615">
        <v>-2.92E-2</v>
      </c>
      <c r="D615">
        <v>-1.47E-2</v>
      </c>
      <c r="P615" t="s">
        <v>901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902</v>
      </c>
      <c r="B616">
        <v>4.24E-2</v>
      </c>
      <c r="C616">
        <v>5.1499999999999997E-2</v>
      </c>
      <c r="D616">
        <v>4.8000000000000001E-2</v>
      </c>
      <c r="P616" t="s">
        <v>902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903</v>
      </c>
      <c r="B617">
        <v>-1.9699999999999999E-2</v>
      </c>
      <c r="C617">
        <v>-7.3399999999999896E-2</v>
      </c>
      <c r="D617">
        <v>1.1999999999999999E-3</v>
      </c>
      <c r="P617" t="s">
        <v>903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904</v>
      </c>
      <c r="B618">
        <v>2.52E-2</v>
      </c>
      <c r="C618">
        <v>2.2200000000000001E-2</v>
      </c>
      <c r="D618">
        <v>3.6999999999999998E-2</v>
      </c>
      <c r="P618" t="s">
        <v>904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905</v>
      </c>
      <c r="B619">
        <v>2.5499999999999998E-2</v>
      </c>
      <c r="C619">
        <v>2.5000000000000001E-3</v>
      </c>
      <c r="D619">
        <v>3.3399999999999999E-2</v>
      </c>
      <c r="P619" t="s">
        <v>905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906</v>
      </c>
      <c r="B620">
        <v>-5.9999999999999995E-4</v>
      </c>
      <c r="C620">
        <v>-1.3599999999999999E-2</v>
      </c>
      <c r="D620">
        <v>-6.6E-3</v>
      </c>
      <c r="P620" t="s">
        <v>906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907</v>
      </c>
      <c r="B621">
        <v>-3.1099999999999999E-2</v>
      </c>
      <c r="C621">
        <v>-7.7699999999999894E-2</v>
      </c>
      <c r="D621">
        <v>-3.4999999999999901E-3</v>
      </c>
      <c r="P621" t="s">
        <v>907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908</v>
      </c>
      <c r="B622">
        <v>6.13E-2</v>
      </c>
      <c r="C622">
        <v>0.1134</v>
      </c>
      <c r="D622">
        <v>3.2300000000000002E-2</v>
      </c>
      <c r="P622" t="s">
        <v>908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909</v>
      </c>
      <c r="B623">
        <v>-1.12E-2</v>
      </c>
      <c r="C623">
        <v>-4.7500000000000001E-2</v>
      </c>
      <c r="D623">
        <v>-9.2999999999999992E-3</v>
      </c>
      <c r="P623" t="s">
        <v>909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910</v>
      </c>
      <c r="B624">
        <v>5.8999999999999999E-3</v>
      </c>
      <c r="C624">
        <v>0.1074</v>
      </c>
      <c r="D624">
        <v>-8.6E-3</v>
      </c>
      <c r="P624" t="s">
        <v>910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911</v>
      </c>
      <c r="B625">
        <v>1.3599999999999999E-2</v>
      </c>
      <c r="C625">
        <v>-8.0299999999999996E-2</v>
      </c>
      <c r="D625">
        <v>1.6500000000000001E-2</v>
      </c>
      <c r="P625" t="s">
        <v>911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912</v>
      </c>
      <c r="B626">
        <v>-1.5299999999999999E-2</v>
      </c>
      <c r="C626">
        <v>-5.57E-2</v>
      </c>
      <c r="D626">
        <v>-1.41E-2</v>
      </c>
      <c r="P626" t="s">
        <v>912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913</v>
      </c>
      <c r="B627">
        <v>1.54E-2</v>
      </c>
      <c r="C627">
        <v>-0.1817</v>
      </c>
      <c r="D627">
        <v>3.7900000000000003E-2</v>
      </c>
      <c r="P627" t="s">
        <v>913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914</v>
      </c>
      <c r="B628">
        <v>-6.0400000000000002E-2</v>
      </c>
      <c r="C628">
        <v>-2.81E-2</v>
      </c>
      <c r="D628">
        <v>-5.6799999999999899E-2</v>
      </c>
      <c r="P628" t="s">
        <v>914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915</v>
      </c>
      <c r="B629">
        <v>-3.0699999999999901E-2</v>
      </c>
      <c r="C629">
        <v>-0.1595</v>
      </c>
      <c r="D629">
        <v>-1.39999999999999E-2</v>
      </c>
      <c r="P629" t="s">
        <v>915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916</v>
      </c>
      <c r="B630">
        <v>7.7499999999999999E-2</v>
      </c>
      <c r="C630">
        <v>0.1229</v>
      </c>
      <c r="D630">
        <v>6.9000000000000006E-2</v>
      </c>
      <c r="P630" t="s">
        <v>916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917</v>
      </c>
      <c r="B631">
        <v>5.5999999999999999E-3</v>
      </c>
      <c r="C631">
        <v>-4.1700000000000001E-2</v>
      </c>
      <c r="D631">
        <v>-4.0000000000000002E-4</v>
      </c>
      <c r="P631" t="s">
        <v>917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918</v>
      </c>
      <c r="B632">
        <v>-2.1600000000000001E-2</v>
      </c>
      <c r="C632">
        <v>-4.3200000000000002E-2</v>
      </c>
      <c r="D632">
        <v>-1.8E-3</v>
      </c>
      <c r="P632" t="s">
        <v>918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919</v>
      </c>
      <c r="B633">
        <v>-5.7599999999999901E-2</v>
      </c>
      <c r="C633">
        <v>-0.1318</v>
      </c>
      <c r="D633">
        <v>-2.6099999999999901E-2</v>
      </c>
      <c r="P633" t="s">
        <v>919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920</v>
      </c>
      <c r="B634">
        <v>-5.9999999999999995E-4</v>
      </c>
      <c r="C634">
        <v>3.3599999999999998E-2</v>
      </c>
      <c r="D634">
        <v>2.9999999999999997E-4</v>
      </c>
      <c r="P634" t="s">
        <v>920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921</v>
      </c>
      <c r="B635">
        <v>6.9800000000000001E-2</v>
      </c>
      <c r="C635">
        <v>0.1394</v>
      </c>
      <c r="D635">
        <v>5.8299999999999998E-2</v>
      </c>
      <c r="P635" t="s">
        <v>921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922</v>
      </c>
      <c r="B636">
        <v>9.2999999999999992E-3</v>
      </c>
      <c r="C636">
        <v>0.18340000000000001</v>
      </c>
      <c r="D636">
        <v>-7.3000000000000001E-3</v>
      </c>
      <c r="P636" t="s">
        <v>922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923</v>
      </c>
      <c r="B637">
        <v>1.7899999999999999E-2</v>
      </c>
      <c r="C637">
        <v>-1.6899999999999998E-2</v>
      </c>
      <c r="D637">
        <v>1.7500000000000002E-2</v>
      </c>
      <c r="P637" t="s">
        <v>923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924</v>
      </c>
      <c r="B638">
        <v>-2.9999999999999997E-4</v>
      </c>
      <c r="C638">
        <v>-1.5E-3</v>
      </c>
      <c r="D638">
        <v>2.3699999999999999E-2</v>
      </c>
      <c r="P638" t="s">
        <v>924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925</v>
      </c>
      <c r="B639">
        <v>3.9699999999999999E-2</v>
      </c>
      <c r="C639">
        <v>7.85E-2</v>
      </c>
      <c r="D639">
        <v>1.72E-2</v>
      </c>
      <c r="P639" t="s">
        <v>925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926</v>
      </c>
      <c r="B640">
        <v>5.1999999999999998E-3</v>
      </c>
      <c r="C640">
        <v>5.0299999999999997E-2</v>
      </c>
      <c r="D640">
        <v>-1.5699999999999999E-2</v>
      </c>
      <c r="P640" t="s">
        <v>926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927</v>
      </c>
      <c r="B641">
        <v>2.7000000000000001E-3</v>
      </c>
      <c r="C641">
        <v>4.82E-2</v>
      </c>
      <c r="D641">
        <v>-1.6999999999999999E-3</v>
      </c>
      <c r="P641" t="s">
        <v>927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928</v>
      </c>
      <c r="B642">
        <v>-0.02</v>
      </c>
      <c r="C642">
        <v>-8.7899999999999895E-2</v>
      </c>
      <c r="D642">
        <v>-1.6899999999999998E-2</v>
      </c>
      <c r="P642" t="s">
        <v>928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929</v>
      </c>
      <c r="B643">
        <v>4.87E-2</v>
      </c>
      <c r="C643">
        <v>8.6999999999999994E-2</v>
      </c>
      <c r="D643">
        <v>7.4999999999999997E-3</v>
      </c>
      <c r="P643" t="s">
        <v>929</v>
      </c>
      <c r="Q643">
        <f t="shared" si="27"/>
        <v>4.7699999999999999E-2</v>
      </c>
      <c r="R643">
        <f t="shared" si="28"/>
        <v>8.5999999999999993E-2</v>
      </c>
      <c r="S643">
        <f t="shared" si="29"/>
        <v>6.4999999999999997E-3</v>
      </c>
    </row>
    <row r="644" spans="1:19">
      <c r="A644" t="s">
        <v>930</v>
      </c>
      <c r="B644">
        <v>1.84E-2</v>
      </c>
      <c r="C644">
        <v>-5.9999999999999995E-4</v>
      </c>
      <c r="D644">
        <v>2.7300000000000001E-2</v>
      </c>
      <c r="P644" t="s">
        <v>930</v>
      </c>
      <c r="Q644">
        <f t="shared" ref="Q644:Q704" si="30">B644-0.001</f>
        <v>1.7399999999999999E-2</v>
      </c>
      <c r="R644">
        <f t="shared" ref="R644:R704" si="31">C644-0.001</f>
        <v>-1.5999999999999999E-3</v>
      </c>
      <c r="S644">
        <f t="shared" ref="S644:S704" si="32">D644-0.001</f>
        <v>2.63E-2</v>
      </c>
    </row>
    <row r="645" spans="1:19">
      <c r="A645" t="s">
        <v>201</v>
      </c>
      <c r="B645">
        <v>1.9800000000000002E-2</v>
      </c>
      <c r="C645">
        <v>3.6299999999999999E-2</v>
      </c>
      <c r="D645">
        <v>1.11E-2</v>
      </c>
      <c r="P645" t="s">
        <v>201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202</v>
      </c>
      <c r="B646">
        <v>3.6099999999999903E-2</v>
      </c>
      <c r="C646">
        <v>2.6699999999999901E-2</v>
      </c>
      <c r="D646">
        <v>4.7599999999999899E-2</v>
      </c>
      <c r="P646" t="s">
        <v>202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203</v>
      </c>
      <c r="B647">
        <v>2E-3</v>
      </c>
      <c r="C647">
        <v>-1.83E-2</v>
      </c>
      <c r="D647">
        <v>3.8999999999999998E-3</v>
      </c>
      <c r="P647" t="s">
        <v>203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204</v>
      </c>
      <c r="B648">
        <v>1.14E-2</v>
      </c>
      <c r="C648">
        <v>1.49E-2</v>
      </c>
      <c r="D648">
        <v>6.1999999999999998E-3</v>
      </c>
      <c r="P648" t="s">
        <v>204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205</v>
      </c>
      <c r="B649">
        <v>1.12E-2</v>
      </c>
      <c r="C649">
        <v>-4.4499999999999998E-2</v>
      </c>
      <c r="D649">
        <v>2.4199999999999999E-2</v>
      </c>
      <c r="P649" t="s">
        <v>205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206</v>
      </c>
      <c r="B650">
        <v>8.3999999999999995E-3</v>
      </c>
      <c r="C650">
        <v>4.7599999999999899E-2</v>
      </c>
      <c r="D650">
        <v>-9.7999999999999997E-3</v>
      </c>
      <c r="P650" t="s">
        <v>206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207</v>
      </c>
      <c r="B651">
        <v>1.9400000000000001E-2</v>
      </c>
      <c r="C651">
        <v>9.1999999999999998E-3</v>
      </c>
      <c r="D651">
        <v>2.5999999999999999E-2</v>
      </c>
      <c r="P651" t="s">
        <v>207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208</v>
      </c>
      <c r="B652">
        <v>2.5000000000000001E-3</v>
      </c>
      <c r="C652">
        <v>-3.2199999999999999E-2</v>
      </c>
      <c r="D652">
        <v>-2.7000000000000001E-3</v>
      </c>
      <c r="P652" t="s">
        <v>208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209</v>
      </c>
      <c r="B653">
        <v>2.5999999999999999E-2</v>
      </c>
      <c r="C653">
        <v>6.9900000000000004E-2</v>
      </c>
      <c r="D653">
        <v>3.2000000000000002E-3</v>
      </c>
      <c r="P653" t="s">
        <v>209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210</v>
      </c>
      <c r="B654">
        <v>2.3400000000000001E-2</v>
      </c>
      <c r="C654">
        <v>-3.1699999999999999E-2</v>
      </c>
      <c r="D654">
        <v>1.47E-2</v>
      </c>
      <c r="P654" t="s">
        <v>210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211</v>
      </c>
      <c r="B655">
        <v>3.2000000000000001E-2</v>
      </c>
      <c r="C655">
        <v>0.1048</v>
      </c>
      <c r="D655">
        <v>4.3799999999999999E-2</v>
      </c>
      <c r="P655" t="s">
        <v>211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212</v>
      </c>
      <c r="B656">
        <v>1.15E-2</v>
      </c>
      <c r="C656">
        <v>1.0500000000000001E-2</v>
      </c>
      <c r="D656">
        <v>6.09999999999999E-3</v>
      </c>
      <c r="P656" t="s">
        <v>212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213</v>
      </c>
      <c r="B657">
        <v>5.6899999999999999E-2</v>
      </c>
      <c r="C657">
        <v>-1.11E-2</v>
      </c>
      <c r="D657">
        <v>3.3099999999999997E-2</v>
      </c>
      <c r="P657" t="s">
        <v>213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214</v>
      </c>
      <c r="B658">
        <v>-3.5400000000000001E-2</v>
      </c>
      <c r="C658">
        <v>-7.2900000000000006E-2</v>
      </c>
      <c r="D658">
        <v>-4.5400000000000003E-2</v>
      </c>
      <c r="P658" t="s">
        <v>214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215</v>
      </c>
      <c r="B659">
        <v>-2.23E-2</v>
      </c>
      <c r="C659">
        <v>-8.0000000000000002E-3</v>
      </c>
      <c r="D659">
        <v>-9.1999999999999998E-3</v>
      </c>
      <c r="P659" t="s">
        <v>215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216</v>
      </c>
      <c r="B660">
        <v>4.3E-3</v>
      </c>
      <c r="C660">
        <v>2.93E-2</v>
      </c>
      <c r="D660">
        <v>-1.6999999999999999E-3</v>
      </c>
      <c r="P660" t="s">
        <v>216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217</v>
      </c>
      <c r="B661">
        <v>2.7900000000000001E-2</v>
      </c>
      <c r="C661">
        <v>9.1000000000000004E-3</v>
      </c>
      <c r="D661">
        <v>1.3100000000000001E-2</v>
      </c>
      <c r="P661" t="s">
        <v>217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218</v>
      </c>
      <c r="B662">
        <v>6.1999999999999998E-3</v>
      </c>
      <c r="C662">
        <v>4.0899999999999999E-2</v>
      </c>
      <c r="D662">
        <v>1.9900000000000001E-2</v>
      </c>
      <c r="P662" t="s">
        <v>218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219</v>
      </c>
      <c r="B663">
        <v>3.3499999999999898E-2</v>
      </c>
      <c r="C663">
        <v>2.3799999999999901E-2</v>
      </c>
      <c r="D663">
        <v>2.23E-2</v>
      </c>
      <c r="P663" t="s">
        <v>219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220</v>
      </c>
      <c r="B664">
        <v>3.5999999999999997E-2</v>
      </c>
      <c r="C664">
        <v>6.9999999999999999E-4</v>
      </c>
      <c r="D664">
        <v>2.23E-2</v>
      </c>
      <c r="P664" t="s">
        <v>220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221</v>
      </c>
      <c r="B665">
        <v>2.0999999999999999E-3</v>
      </c>
      <c r="C665">
        <v>-1.06E-2</v>
      </c>
      <c r="D665">
        <v>6.4000000000000003E-3</v>
      </c>
      <c r="P665" t="s">
        <v>221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222</v>
      </c>
      <c r="B666">
        <v>-7.4899999999999994E-2</v>
      </c>
      <c r="C666">
        <v>-8.9099999999999999E-2</v>
      </c>
      <c r="D666">
        <v>-1.67E-2</v>
      </c>
      <c r="P666" t="s">
        <v>222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223</v>
      </c>
      <c r="B667">
        <v>1.8699999999999901E-2</v>
      </c>
      <c r="C667">
        <v>-8.0000000000000002E-3</v>
      </c>
      <c r="D667">
        <v>1.61E-2</v>
      </c>
      <c r="P667" t="s">
        <v>223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224</v>
      </c>
      <c r="B668">
        <v>-9.3600000000000003E-2</v>
      </c>
      <c r="C668">
        <v>-0.1191</v>
      </c>
      <c r="D668">
        <v>-7.3200000000000001E-2</v>
      </c>
      <c r="P668" t="s">
        <v>224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225</v>
      </c>
      <c r="B669">
        <v>8.6199999999999999E-2</v>
      </c>
      <c r="C669">
        <v>0.1973</v>
      </c>
      <c r="D669">
        <v>5.9900000000000002E-2</v>
      </c>
      <c r="P669" t="s">
        <v>225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226</v>
      </c>
      <c r="B670">
        <v>3.5799999999999998E-2</v>
      </c>
      <c r="C670">
        <v>7.0000000000000007E-2</v>
      </c>
      <c r="D670">
        <v>3.2599999999999997E-2</v>
      </c>
      <c r="P670" t="s">
        <v>226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227</v>
      </c>
      <c r="B671">
        <v>1.29E-2</v>
      </c>
      <c r="C671">
        <v>2.9399999999999999E-2</v>
      </c>
      <c r="D671">
        <v>2.5999999999999999E-2</v>
      </c>
      <c r="P671" t="s">
        <v>227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228</v>
      </c>
      <c r="B672">
        <v>4.1699999999999897E-2</v>
      </c>
      <c r="C672">
        <v>3.8699999999999998E-2</v>
      </c>
      <c r="D672">
        <v>2.1000000000000001E-2</v>
      </c>
      <c r="P672" t="s">
        <v>228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229</v>
      </c>
      <c r="B673">
        <v>-6.7299999999999999E-2</v>
      </c>
      <c r="C673">
        <v>-0.17579999999999901</v>
      </c>
      <c r="D673">
        <v>-3.8100000000000002E-2</v>
      </c>
      <c r="P673" t="s">
        <v>229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230</v>
      </c>
      <c r="B674">
        <v>7.1099999999999997E-2</v>
      </c>
      <c r="C674">
        <v>0.1081</v>
      </c>
      <c r="D674">
        <v>5.74E-2</v>
      </c>
      <c r="P674" t="s">
        <v>230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231</v>
      </c>
      <c r="B675">
        <v>1.38E-2</v>
      </c>
      <c r="C675">
        <v>-4.4199999999999899E-2</v>
      </c>
      <c r="D675">
        <v>1.5599999999999999E-2</v>
      </c>
      <c r="P675" t="s">
        <v>231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232</v>
      </c>
      <c r="B676">
        <v>-2.4199999999999999E-2</v>
      </c>
      <c r="C676">
        <v>-0.1346</v>
      </c>
      <c r="D676">
        <v>1.3299999999999999E-2</v>
      </c>
      <c r="P676" t="s">
        <v>232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233</v>
      </c>
      <c r="B677">
        <v>1.61E-2</v>
      </c>
      <c r="C677">
        <v>5.21E-2</v>
      </c>
      <c r="D677">
        <v>1.3100000000000001E-2</v>
      </c>
      <c r="P677" t="s">
        <v>233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234</v>
      </c>
      <c r="B678">
        <v>2.2100000000000002E-2</v>
      </c>
      <c r="C678">
        <v>-4.1599999999999998E-2</v>
      </c>
      <c r="D678">
        <v>1.15E-2</v>
      </c>
      <c r="P678" t="s">
        <v>234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235</v>
      </c>
      <c r="B679">
        <v>3.9899999999999998E-2</v>
      </c>
      <c r="C679">
        <v>0.05</v>
      </c>
      <c r="D679">
        <v>1.2500000000000001E-2</v>
      </c>
      <c r="P679" t="s">
        <v>235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236</v>
      </c>
      <c r="B680">
        <v>2.9100000000000001E-2</v>
      </c>
      <c r="C680">
        <v>0.10970000000000001</v>
      </c>
      <c r="D680">
        <v>2.64E-2</v>
      </c>
      <c r="P680" t="s">
        <v>236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237</v>
      </c>
      <c r="B681">
        <v>1.9999999999999901E-4</v>
      </c>
      <c r="C681">
        <v>-0.1032</v>
      </c>
      <c r="D681">
        <v>-2.3E-3</v>
      </c>
      <c r="P681" t="s">
        <v>237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238</v>
      </c>
      <c r="B682">
        <v>-8.0100000000000005E-2</v>
      </c>
      <c r="C682">
        <v>-0.12659999999999999</v>
      </c>
      <c r="D682">
        <v>-7.8200000000000006E-2</v>
      </c>
      <c r="P682" t="s">
        <v>238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239</v>
      </c>
      <c r="B683">
        <v>-0.1326</v>
      </c>
      <c r="C683">
        <v>-0.28179999999999999</v>
      </c>
      <c r="D683">
        <v>-9.1999999999999998E-2</v>
      </c>
      <c r="P683" t="s">
        <v>239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240</v>
      </c>
      <c r="B684">
        <v>0.13650000000000001</v>
      </c>
      <c r="C684">
        <v>0.4375</v>
      </c>
      <c r="D684">
        <v>8.7099999999999997E-2</v>
      </c>
      <c r="P684" t="s">
        <v>240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241</v>
      </c>
      <c r="B685">
        <v>5.5899999999999998E-2</v>
      </c>
      <c r="C685">
        <v>-1.41E-2</v>
      </c>
      <c r="D685">
        <v>2.9700000000000001E-2</v>
      </c>
      <c r="P685" t="s">
        <v>241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242</v>
      </c>
      <c r="B686">
        <v>2.47E-2</v>
      </c>
      <c r="C686">
        <v>0.1862</v>
      </c>
      <c r="D686">
        <v>-1.6299999999999999E-2</v>
      </c>
      <c r="P686" t="s">
        <v>242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243</v>
      </c>
      <c r="B687">
        <v>5.7799999999999997E-2</v>
      </c>
      <c r="C687">
        <v>-7.1199999999999999E-2</v>
      </c>
      <c r="D687">
        <v>5.1499999999999997E-2</v>
      </c>
      <c r="P687" t="s">
        <v>243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244</v>
      </c>
      <c r="B688">
        <v>7.6399999999999996E-2</v>
      </c>
      <c r="C688">
        <v>4.1500000000000002E-2</v>
      </c>
      <c r="D688">
        <v>3.4799999999999998E-2</v>
      </c>
      <c r="P688" t="s">
        <v>244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245</v>
      </c>
      <c r="B689">
        <v>-3.6199999999999899E-2</v>
      </c>
      <c r="C689">
        <v>-7.6499999999999999E-2</v>
      </c>
      <c r="D689">
        <v>-1.21999999999999E-2</v>
      </c>
      <c r="P689" t="s">
        <v>245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246</v>
      </c>
      <c r="B690">
        <v>-2.0899999999999998E-2</v>
      </c>
      <c r="C690">
        <v>-4.65E-2</v>
      </c>
      <c r="D690">
        <v>-2.92E-2</v>
      </c>
      <c r="P690" t="s">
        <v>246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247</v>
      </c>
      <c r="B691">
        <v>0.12479999999999999</v>
      </c>
      <c r="C691">
        <v>0.37369999999999998</v>
      </c>
      <c r="D691">
        <v>7.4299999999999894E-2</v>
      </c>
      <c r="P691" t="s">
        <v>247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248</v>
      </c>
      <c r="B692">
        <v>4.6399999999999997E-2</v>
      </c>
      <c r="C692">
        <v>8.1299999999999997E-2</v>
      </c>
      <c r="D692">
        <v>2.1499999999999998E-2</v>
      </c>
      <c r="P692" t="s">
        <v>248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249</v>
      </c>
      <c r="B693">
        <v>-2.9999999999999997E-4</v>
      </c>
      <c r="C693">
        <v>6.4699999999999994E-2</v>
      </c>
      <c r="D693">
        <v>-1.1299999999999999E-2</v>
      </c>
      <c r="P693" t="s">
        <v>249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250</v>
      </c>
      <c r="B694">
        <v>2.7799999999999998E-2</v>
      </c>
      <c r="C694">
        <v>0.19719999999999999</v>
      </c>
      <c r="D694">
        <v>-1.18E-2</v>
      </c>
      <c r="P694" t="s">
        <v>250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251</v>
      </c>
      <c r="B695">
        <v>3.0800000000000001E-2</v>
      </c>
      <c r="C695">
        <v>7.2099999999999997E-2</v>
      </c>
      <c r="D695">
        <v>6.8000000000000005E-2</v>
      </c>
      <c r="P695" t="s">
        <v>251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252</v>
      </c>
      <c r="B696">
        <v>4.9299999999999997E-2</v>
      </c>
      <c r="C696">
        <v>2.18E-2</v>
      </c>
      <c r="D696">
        <v>3.1199999999999999E-2</v>
      </c>
      <c r="P696" t="s">
        <v>252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253</v>
      </c>
      <c r="B697">
        <v>2.8999999999999998E-3</v>
      </c>
      <c r="C697">
        <v>-4.0000000000000002E-4</v>
      </c>
      <c r="D697">
        <v>1.7299999999999999E-2</v>
      </c>
      <c r="P697" t="s">
        <v>253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254</v>
      </c>
      <c r="B698">
        <v>2.75E-2</v>
      </c>
      <c r="C698">
        <v>2.3099999999999999E-2</v>
      </c>
      <c r="D698">
        <v>8.0000000000000004E-4</v>
      </c>
      <c r="P698" t="s">
        <v>254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255</v>
      </c>
      <c r="B699">
        <v>1.2699999999999999E-2</v>
      </c>
      <c r="C699">
        <v>-3.0999999999999999E-3</v>
      </c>
      <c r="D699">
        <v>1.78E-2</v>
      </c>
      <c r="P699" t="s">
        <v>255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256</v>
      </c>
      <c r="B700">
        <v>2.8999999999999901E-2</v>
      </c>
      <c r="C700">
        <v>-2.7000000000000001E-3</v>
      </c>
      <c r="D700">
        <v>2.0299999999999999E-2</v>
      </c>
      <c r="P700" t="s">
        <v>256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257</v>
      </c>
      <c r="B701">
        <v>-4.3700000000000003E-2</v>
      </c>
      <c r="C701">
        <v>-3.5000000000000003E-2</v>
      </c>
      <c r="D701">
        <v>-4.4400000000000002E-2</v>
      </c>
      <c r="P701" t="s">
        <v>257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258</v>
      </c>
      <c r="B702">
        <v>6.6500000000000004E-2</v>
      </c>
      <c r="C702">
        <v>2.76E-2</v>
      </c>
      <c r="D702">
        <v>4.8499999999999897E-2</v>
      </c>
      <c r="P702" t="s">
        <v>258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259</v>
      </c>
      <c r="B703">
        <v>-1.55E-2</v>
      </c>
      <c r="C703">
        <v>-7.6899999999999996E-2</v>
      </c>
      <c r="D703">
        <v>-1.2E-2</v>
      </c>
      <c r="P703" t="s">
        <v>259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288</v>
      </c>
      <c r="B704">
        <v>3.1099999999999999E-2</v>
      </c>
      <c r="C704">
        <v>3.44E-2</v>
      </c>
      <c r="D704">
        <v>5.3199999999999997E-2</v>
      </c>
      <c r="P704" t="s">
        <v>288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4BDF-0551-4080-92E1-8414A0D07B61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RowHeight="15"/>
  <cols>
    <col min="1" max="1" width="9.140625" style="87"/>
    <col min="2" max="2" width="32.42578125" style="87" bestFit="1" customWidth="1"/>
    <col min="3" max="6" width="9.140625" style="87"/>
    <col min="7" max="7" width="32.42578125" style="87" bestFit="1" customWidth="1"/>
    <col min="8" max="8" width="9.140625" style="87"/>
    <col min="9" max="9" width="9.5703125" style="87" bestFit="1" customWidth="1"/>
    <col min="10" max="10" width="9.140625" style="87"/>
    <col min="11" max="11" width="32.42578125" style="87" bestFit="1" customWidth="1"/>
    <col min="12" max="12" width="9.140625" style="87"/>
    <col min="13" max="13" width="9.5703125" style="87" bestFit="1" customWidth="1"/>
    <col min="14" max="16384" width="9.140625" style="87"/>
  </cols>
  <sheetData>
    <row r="2" spans="2:13">
      <c r="B2" s="204" t="s">
        <v>1011</v>
      </c>
      <c r="C2" s="205"/>
      <c r="D2" s="206"/>
      <c r="G2" s="204" t="s">
        <v>1011</v>
      </c>
      <c r="H2" s="205"/>
      <c r="I2" s="206"/>
      <c r="K2" s="204" t="s">
        <v>1011</v>
      </c>
      <c r="L2" s="205"/>
      <c r="M2" s="206"/>
    </row>
    <row r="3" spans="2:13">
      <c r="B3" s="207" t="s">
        <v>1012</v>
      </c>
      <c r="C3" s="208"/>
      <c r="D3" s="209"/>
      <c r="G3" s="207" t="s">
        <v>1013</v>
      </c>
      <c r="H3" s="208"/>
      <c r="I3" s="209"/>
      <c r="K3" s="207" t="s">
        <v>1014</v>
      </c>
      <c r="L3" s="208"/>
      <c r="M3" s="209"/>
    </row>
    <row r="4" spans="2:13">
      <c r="B4" s="201">
        <v>45261</v>
      </c>
      <c r="C4" s="202"/>
      <c r="D4" s="203"/>
      <c r="G4" s="201">
        <v>45261</v>
      </c>
      <c r="H4" s="202"/>
      <c r="I4" s="203"/>
      <c r="K4" s="201">
        <v>45261</v>
      </c>
      <c r="L4" s="202"/>
      <c r="M4" s="203"/>
    </row>
    <row r="5" spans="2:13">
      <c r="B5" s="98" t="s">
        <v>1015</v>
      </c>
      <c r="D5" s="99" t="s">
        <v>1169</v>
      </c>
      <c r="G5" s="98"/>
      <c r="I5" s="99" t="s">
        <v>1169</v>
      </c>
      <c r="K5" s="98"/>
      <c r="M5" s="99" t="s">
        <v>1169</v>
      </c>
    </row>
    <row r="6" spans="2:13">
      <c r="B6" s="100" t="s">
        <v>1016</v>
      </c>
      <c r="D6" s="99"/>
      <c r="G6" s="101" t="s">
        <v>990</v>
      </c>
      <c r="H6" s="102"/>
      <c r="I6" s="103">
        <v>442</v>
      </c>
      <c r="K6" s="100" t="s">
        <v>991</v>
      </c>
      <c r="M6" s="99"/>
    </row>
    <row r="7" spans="2:13">
      <c r="B7" s="100" t="s">
        <v>1017</v>
      </c>
      <c r="D7" s="104">
        <v>20</v>
      </c>
      <c r="G7" s="100"/>
      <c r="I7" s="104"/>
      <c r="K7" s="100" t="s">
        <v>993</v>
      </c>
      <c r="M7" s="104">
        <f>I27</f>
        <v>23.270000000000024</v>
      </c>
    </row>
    <row r="8" spans="2:13">
      <c r="B8" s="100" t="s">
        <v>1018</v>
      </c>
      <c r="D8" s="104">
        <v>5</v>
      </c>
      <c r="G8" s="101" t="s">
        <v>995</v>
      </c>
      <c r="H8" s="105"/>
      <c r="I8" s="106"/>
      <c r="K8" s="100" t="s">
        <v>994</v>
      </c>
      <c r="M8" s="104">
        <f>I16</f>
        <v>10</v>
      </c>
    </row>
    <row r="9" spans="2:13">
      <c r="B9" s="100" t="s">
        <v>1019</v>
      </c>
      <c r="D9" s="104">
        <v>45</v>
      </c>
      <c r="G9" s="100" t="s">
        <v>997</v>
      </c>
      <c r="I9" s="107">
        <f>I6*0.7</f>
        <v>309.39999999999998</v>
      </c>
      <c r="K9" s="100" t="s">
        <v>1020</v>
      </c>
      <c r="M9" s="104"/>
    </row>
    <row r="10" spans="2:13">
      <c r="B10" s="100" t="s">
        <v>1021</v>
      </c>
      <c r="D10" s="108">
        <v>25</v>
      </c>
      <c r="G10" s="100" t="s">
        <v>999</v>
      </c>
      <c r="I10" s="104">
        <f>I6-I9</f>
        <v>132.60000000000002</v>
      </c>
      <c r="K10" s="100" t="s">
        <v>1022</v>
      </c>
      <c r="M10" s="104"/>
    </row>
    <row r="11" spans="2:13">
      <c r="B11" s="100" t="s">
        <v>1023</v>
      </c>
      <c r="D11" s="104">
        <f>SUM(D7:D10)</f>
        <v>95</v>
      </c>
      <c r="G11" s="98"/>
      <c r="I11" s="109"/>
      <c r="K11" s="100" t="s">
        <v>1024</v>
      </c>
      <c r="M11" s="104">
        <v>-5</v>
      </c>
    </row>
    <row r="12" spans="2:13">
      <c r="B12" s="100" t="s">
        <v>1025</v>
      </c>
      <c r="D12" s="104">
        <v>155</v>
      </c>
      <c r="G12" s="100" t="s">
        <v>1026</v>
      </c>
      <c r="I12" s="104"/>
      <c r="K12" s="100" t="s">
        <v>1027</v>
      </c>
      <c r="M12" s="104">
        <v>6</v>
      </c>
    </row>
    <row r="13" spans="2:13">
      <c r="B13" s="100" t="s">
        <v>1028</v>
      </c>
      <c r="D13" s="108">
        <v>100</v>
      </c>
      <c r="G13" s="100" t="s">
        <v>1029</v>
      </c>
      <c r="I13" s="104">
        <v>84</v>
      </c>
      <c r="K13" s="100" t="s">
        <v>1030</v>
      </c>
      <c r="M13" s="104"/>
    </row>
    <row r="14" spans="2:13">
      <c r="B14" s="100" t="s">
        <v>1031</v>
      </c>
      <c r="D14" s="104">
        <f>D12-D13</f>
        <v>55</v>
      </c>
      <c r="G14" s="98" t="s">
        <v>1032</v>
      </c>
      <c r="H14" s="88"/>
      <c r="I14" s="104">
        <v>0.1</v>
      </c>
      <c r="K14" s="100" t="s">
        <v>1033</v>
      </c>
      <c r="M14" s="104">
        <v>3</v>
      </c>
    </row>
    <row r="15" spans="2:13">
      <c r="B15" s="100" t="s">
        <v>1034</v>
      </c>
      <c r="D15" s="104">
        <v>5</v>
      </c>
      <c r="G15" s="100" t="s">
        <v>1035</v>
      </c>
      <c r="H15" s="88"/>
      <c r="I15" s="104">
        <v>0.6</v>
      </c>
      <c r="K15" s="100" t="s">
        <v>1036</v>
      </c>
      <c r="M15" s="104">
        <v>1</v>
      </c>
    </row>
    <row r="16" spans="2:13">
      <c r="B16" s="101" t="s">
        <v>1037</v>
      </c>
      <c r="C16" s="105"/>
      <c r="D16" s="106">
        <f>D14+D11+D15</f>
        <v>155</v>
      </c>
      <c r="G16" s="100" t="s">
        <v>1038</v>
      </c>
      <c r="H16" s="88"/>
      <c r="I16" s="104">
        <v>10</v>
      </c>
      <c r="K16" s="100" t="s">
        <v>1039</v>
      </c>
      <c r="M16" s="104">
        <v>-1</v>
      </c>
    </row>
    <row r="17" spans="2:13">
      <c r="B17" s="98" t="s">
        <v>1040</v>
      </c>
      <c r="D17" s="99" t="s">
        <v>1169</v>
      </c>
      <c r="G17" s="100" t="s">
        <v>1004</v>
      </c>
      <c r="I17" s="110">
        <f>SUM(I13:I16)</f>
        <v>94.699999999999989</v>
      </c>
      <c r="K17" s="111" t="s">
        <v>1041</v>
      </c>
      <c r="L17" s="112"/>
      <c r="M17" s="108">
        <f>SUM(M11:M16)</f>
        <v>4</v>
      </c>
    </row>
    <row r="18" spans="2:13">
      <c r="B18" s="100" t="s">
        <v>1042</v>
      </c>
      <c r="D18" s="104"/>
      <c r="G18" s="100" t="s">
        <v>1005</v>
      </c>
      <c r="I18" s="99">
        <f>I10-I17</f>
        <v>37.900000000000034</v>
      </c>
      <c r="K18" s="113" t="s">
        <v>996</v>
      </c>
      <c r="L18" s="114"/>
      <c r="M18" s="115">
        <f>M17+M8+M7</f>
        <v>37.270000000000024</v>
      </c>
    </row>
    <row r="19" spans="2:13">
      <c r="B19" s="100" t="s">
        <v>1043</v>
      </c>
      <c r="D19" s="104">
        <v>40</v>
      </c>
      <c r="G19" s="100"/>
      <c r="I19" s="104"/>
      <c r="K19" s="116" t="s">
        <v>1044</v>
      </c>
      <c r="L19" s="117"/>
      <c r="M19" s="118"/>
    </row>
    <row r="20" spans="2:13">
      <c r="B20" s="100" t="s">
        <v>1045</v>
      </c>
      <c r="D20" s="104">
        <v>15</v>
      </c>
      <c r="G20" s="100" t="s">
        <v>1046</v>
      </c>
      <c r="I20" s="104"/>
      <c r="K20" s="100" t="s">
        <v>1047</v>
      </c>
      <c r="M20" s="104"/>
    </row>
    <row r="21" spans="2:13">
      <c r="B21" s="100" t="s">
        <v>1048</v>
      </c>
      <c r="D21" s="108">
        <v>5</v>
      </c>
      <c r="G21" s="100" t="s">
        <v>1049</v>
      </c>
      <c r="I21" s="119">
        <f>0.05*5</f>
        <v>0.25</v>
      </c>
      <c r="K21" s="100" t="s">
        <v>1050</v>
      </c>
      <c r="M21" s="104">
        <v>-5</v>
      </c>
    </row>
    <row r="22" spans="2:13">
      <c r="B22" s="100" t="s">
        <v>1051</v>
      </c>
      <c r="C22" s="88"/>
      <c r="D22" s="104">
        <f>SUM(D19:D21)</f>
        <v>60</v>
      </c>
      <c r="G22" s="100" t="s">
        <v>1006</v>
      </c>
      <c r="I22" s="120">
        <f>0.08*D23</f>
        <v>2.4</v>
      </c>
      <c r="K22" s="100" t="s">
        <v>1052</v>
      </c>
      <c r="M22" s="110">
        <v>10</v>
      </c>
    </row>
    <row r="23" spans="2:13">
      <c r="B23" s="100" t="s">
        <v>1053</v>
      </c>
      <c r="C23" s="88"/>
      <c r="D23" s="108">
        <v>30</v>
      </c>
      <c r="G23" s="100" t="s">
        <v>1007</v>
      </c>
      <c r="I23" s="121">
        <v>-2.1</v>
      </c>
      <c r="K23" s="100" t="s">
        <v>1054</v>
      </c>
      <c r="M23" s="104">
        <f>SUM(M21:M22)</f>
        <v>5</v>
      </c>
    </row>
    <row r="24" spans="2:13">
      <c r="B24" s="100" t="s">
        <v>1055</v>
      </c>
      <c r="D24" s="104">
        <f>SUM(D22:D23)</f>
        <v>90</v>
      </c>
      <c r="G24" s="100"/>
      <c r="H24" s="88"/>
      <c r="I24" s="104"/>
      <c r="K24" s="100" t="s">
        <v>1056</v>
      </c>
      <c r="M24" s="104"/>
    </row>
    <row r="25" spans="2:13">
      <c r="B25" s="111" t="s">
        <v>1057</v>
      </c>
      <c r="C25" s="112"/>
      <c r="D25" s="108">
        <f>155-90</f>
        <v>65</v>
      </c>
      <c r="G25" s="100" t="s">
        <v>1008</v>
      </c>
      <c r="I25" s="122">
        <f>I10-I17+I23</f>
        <v>35.800000000000033</v>
      </c>
      <c r="K25" s="100" t="s">
        <v>1058</v>
      </c>
      <c r="M25" s="104">
        <v>-3</v>
      </c>
    </row>
    <row r="26" spans="2:13">
      <c r="B26" s="113" t="s">
        <v>1059</v>
      </c>
      <c r="C26" s="123"/>
      <c r="D26" s="124">
        <f>SUM(D24:D25)</f>
        <v>155</v>
      </c>
      <c r="G26" s="100" t="s">
        <v>1009</v>
      </c>
      <c r="H26" s="88"/>
      <c r="I26" s="104">
        <f>0.35*I25</f>
        <v>12.53000000000001</v>
      </c>
      <c r="K26" s="100" t="s">
        <v>1060</v>
      </c>
      <c r="M26" s="110">
        <v>2</v>
      </c>
    </row>
    <row r="27" spans="2:13">
      <c r="G27" s="101" t="s">
        <v>1010</v>
      </c>
      <c r="H27" s="105"/>
      <c r="I27" s="125">
        <f>I25-I26</f>
        <v>23.270000000000024</v>
      </c>
      <c r="K27" s="111" t="s">
        <v>1061</v>
      </c>
      <c r="L27" s="112"/>
      <c r="M27" s="108">
        <f>SUM(M25:M26)</f>
        <v>-1</v>
      </c>
    </row>
    <row r="28" spans="2:13">
      <c r="K28" s="101" t="s">
        <v>1062</v>
      </c>
      <c r="L28" s="105"/>
      <c r="M28" s="126">
        <f>M27+M23</f>
        <v>4</v>
      </c>
    </row>
    <row r="29" spans="2:13">
      <c r="K29" s="100" t="s">
        <v>1063</v>
      </c>
      <c r="M29" s="127"/>
    </row>
    <row r="30" spans="2:13">
      <c r="K30" s="100" t="s">
        <v>1064</v>
      </c>
      <c r="M30" s="104">
        <v>-5</v>
      </c>
    </row>
    <row r="31" spans="2:13">
      <c r="K31" s="100" t="s">
        <v>1065</v>
      </c>
      <c r="M31" s="104">
        <v>2</v>
      </c>
    </row>
    <row r="32" spans="2:13">
      <c r="K32" s="100" t="s">
        <v>1066</v>
      </c>
      <c r="M32" s="104">
        <v>1</v>
      </c>
    </row>
    <row r="33" spans="11:13">
      <c r="K33" s="111" t="s">
        <v>1067</v>
      </c>
      <c r="L33" s="112"/>
      <c r="M33" s="108">
        <v>-2.4</v>
      </c>
    </row>
    <row r="34" spans="11:13">
      <c r="K34" s="113" t="s">
        <v>1068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1069</v>
      </c>
      <c r="L36" s="128"/>
      <c r="M36" s="115">
        <f>M34+M28+M18</f>
        <v>36.870000000000026</v>
      </c>
    </row>
  </sheetData>
  <mergeCells count="9">
    <mergeCell ref="B4:D4"/>
    <mergeCell ref="G4:I4"/>
    <mergeCell ref="K4:M4"/>
    <mergeCell ref="B2:D2"/>
    <mergeCell ref="G2:I2"/>
    <mergeCell ref="K2:M2"/>
    <mergeCell ref="B3:D3"/>
    <mergeCell ref="G3:I3"/>
    <mergeCell ref="K3:M3"/>
  </mergeCells>
  <pageMargins left="0.7" right="0.7" top="0.75" bottom="0.75" header="0.3" footer="0.3"/>
  <pageSetup orientation="portrait" r:id="rId1"/>
  <ignoredErrors>
    <ignoredError sqref="D25" formula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12CD-7799-41A3-8EF7-A28376F47E54}">
  <sheetPr>
    <pageSetUpPr fitToPage="1"/>
  </sheetPr>
  <dimension ref="B1:W20"/>
  <sheetViews>
    <sheetView showGridLines="0" workbookViewId="0">
      <selection activeCell="H24" sqref="H24"/>
    </sheetView>
  </sheetViews>
  <sheetFormatPr defaultRowHeight="15.75"/>
  <cols>
    <col min="1" max="1" width="4.7109375" style="153" customWidth="1"/>
    <col min="2" max="2" width="12.42578125" style="153" customWidth="1"/>
    <col min="3" max="3" width="11.85546875" style="153" customWidth="1"/>
    <col min="4" max="4" width="14.7109375" style="153" customWidth="1"/>
    <col min="5" max="5" width="23" style="153" customWidth="1"/>
    <col min="6" max="6" width="18" style="153" customWidth="1"/>
    <col min="7" max="7" width="11" style="153" customWidth="1"/>
    <col min="8" max="8" width="13.7109375" style="153" customWidth="1"/>
    <col min="9" max="9" width="3.42578125" style="153" customWidth="1"/>
    <col min="10" max="10" width="12.7109375" style="153" customWidth="1"/>
    <col min="11" max="11" width="12.140625" style="153" customWidth="1"/>
    <col min="12" max="12" width="12" style="153" customWidth="1"/>
    <col min="13" max="13" width="15.85546875" style="153" customWidth="1"/>
    <col min="14" max="14" width="2" style="153" customWidth="1"/>
    <col min="15" max="15" width="10.28515625" style="153" customWidth="1"/>
    <col min="16" max="16" width="9.5703125" style="153" customWidth="1"/>
    <col min="17" max="17" width="12.140625" style="153" customWidth="1"/>
    <col min="18" max="18" width="10.5703125" style="153" bestFit="1" customWidth="1"/>
    <col min="19" max="16384" width="9.140625" style="153"/>
  </cols>
  <sheetData>
    <row r="1" spans="2:22" ht="20.25">
      <c r="B1" s="139" t="s">
        <v>1099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</row>
    <row r="2" spans="2:22" ht="20.25"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</row>
    <row r="3" spans="2:22" ht="20.25">
      <c r="B3" s="156">
        <v>1</v>
      </c>
      <c r="C3" s="157">
        <v>2</v>
      </c>
      <c r="D3" s="157">
        <v>3</v>
      </c>
      <c r="E3" s="157">
        <v>4</v>
      </c>
      <c r="F3" s="157">
        <v>5</v>
      </c>
      <c r="G3" s="157">
        <v>6</v>
      </c>
      <c r="H3" s="157">
        <v>7</v>
      </c>
      <c r="I3" s="157"/>
      <c r="J3" s="157">
        <v>8</v>
      </c>
      <c r="K3" s="157">
        <v>9</v>
      </c>
      <c r="L3" s="157">
        <v>10</v>
      </c>
      <c r="M3" s="156">
        <v>11</v>
      </c>
    </row>
    <row r="4" spans="2:22" ht="20.25">
      <c r="B4" s="139"/>
      <c r="C4" s="210" t="s">
        <v>1089</v>
      </c>
      <c r="D4" s="210"/>
      <c r="E4" s="210"/>
      <c r="F4" s="210"/>
      <c r="G4" s="210"/>
      <c r="H4" s="210"/>
      <c r="I4" s="152"/>
      <c r="J4" s="210" t="s">
        <v>1101</v>
      </c>
      <c r="K4" s="210"/>
      <c r="L4" s="210"/>
      <c r="M4" s="139"/>
      <c r="N4" s="154"/>
      <c r="O4" s="154"/>
      <c r="P4" s="154"/>
    </row>
    <row r="5" spans="2:22" ht="20.25">
      <c r="B5" s="139" t="s">
        <v>1090</v>
      </c>
      <c r="C5" s="141" t="s">
        <v>1003</v>
      </c>
      <c r="D5" s="141" t="s">
        <v>1102</v>
      </c>
      <c r="E5" s="141" t="s">
        <v>1091</v>
      </c>
      <c r="F5" s="141" t="s">
        <v>1092</v>
      </c>
      <c r="G5" s="141" t="s">
        <v>1093</v>
      </c>
      <c r="H5" s="141" t="s">
        <v>1102</v>
      </c>
      <c r="I5" s="141"/>
      <c r="J5" s="141" t="s">
        <v>1100</v>
      </c>
      <c r="K5" s="139" t="s">
        <v>1094</v>
      </c>
      <c r="L5" s="141" t="s">
        <v>1177</v>
      </c>
      <c r="M5" s="141" t="s">
        <v>1103</v>
      </c>
      <c r="Q5" s="154"/>
      <c r="R5" s="154"/>
      <c r="S5" s="154"/>
      <c r="U5" s="154"/>
      <c r="V5" s="154"/>
    </row>
    <row r="6" spans="2:22" ht="20.25">
      <c r="B6" s="140">
        <v>0</v>
      </c>
      <c r="C6" s="142"/>
      <c r="D6" s="142"/>
      <c r="E6" s="142"/>
      <c r="F6" s="142"/>
      <c r="G6" s="142"/>
      <c r="H6" s="142"/>
      <c r="I6" s="142"/>
      <c r="J6" s="143">
        <f>SUM(D7:D10)</f>
        <v>1210.5315215742748</v>
      </c>
      <c r="K6" s="143">
        <f>$C$13*J6</f>
        <v>302.63288039356871</v>
      </c>
      <c r="L6" s="143">
        <f>J6-K6</f>
        <v>907.89864118070614</v>
      </c>
      <c r="M6" s="144">
        <f>K6/J6</f>
        <v>0.25</v>
      </c>
      <c r="N6" s="154"/>
      <c r="O6" s="188"/>
    </row>
    <row r="7" spans="2:22" ht="20.25">
      <c r="B7" s="140">
        <v>1</v>
      </c>
      <c r="C7" s="142">
        <v>100</v>
      </c>
      <c r="D7" s="143">
        <f>C7/(1+$C$16)^B7</f>
        <v>88.495575221238951</v>
      </c>
      <c r="E7" s="143">
        <f>K7-K6</f>
        <v>14.34227445116386</v>
      </c>
      <c r="F7" s="144">
        <f>$C$15*K6</f>
        <v>30.263288039356873</v>
      </c>
      <c r="G7" s="144">
        <f>C7-F7+E7</f>
        <v>84.078986411806994</v>
      </c>
      <c r="H7" s="158">
        <f>G7/(1+$D$15)^B7</f>
        <v>73.753496852462263</v>
      </c>
      <c r="I7" s="158"/>
      <c r="J7" s="143">
        <f>SUM(D8:D10)*(1+$C$16)^B7</f>
        <v>1267.9006193789303</v>
      </c>
      <c r="K7" s="143">
        <f>$C$13*J7</f>
        <v>316.97515484473257</v>
      </c>
      <c r="L7" s="143">
        <f>J7-K7</f>
        <v>950.92546453419777</v>
      </c>
      <c r="M7" s="144">
        <f>K7/J7</f>
        <v>0.25</v>
      </c>
      <c r="N7" s="154"/>
      <c r="P7" s="154"/>
      <c r="S7" s="154"/>
      <c r="T7" s="154"/>
    </row>
    <row r="8" spans="2:22" ht="20.25">
      <c r="B8" s="140">
        <v>2</v>
      </c>
      <c r="C8" s="142">
        <v>500</v>
      </c>
      <c r="D8" s="143">
        <f>C8/(1+$C$16)^B8</f>
        <v>391.57334168689806</v>
      </c>
      <c r="E8" s="143">
        <f>K8-K7</f>
        <v>-83.793229870184774</v>
      </c>
      <c r="F8" s="144">
        <f>$C$15*K7</f>
        <v>31.697515484473257</v>
      </c>
      <c r="G8" s="144">
        <f>C8-F8+E8</f>
        <v>384.50925464534203</v>
      </c>
      <c r="H8" s="158">
        <f>G8/(1+$D$15)^B8</f>
        <v>295.8673858459079</v>
      </c>
      <c r="I8" s="158"/>
      <c r="J8" s="143">
        <f>SUM(D9:D11)*(1+$C$16)^B8</f>
        <v>932.72769989819119</v>
      </c>
      <c r="K8" s="143">
        <f>$C$13*J8</f>
        <v>233.1819249745478</v>
      </c>
      <c r="L8" s="143">
        <f>J8-K8</f>
        <v>699.54577492364342</v>
      </c>
      <c r="M8" s="144">
        <f>K8/J8</f>
        <v>0.25</v>
      </c>
      <c r="N8" s="154"/>
      <c r="P8" s="154"/>
      <c r="S8" s="154"/>
      <c r="T8" s="154"/>
    </row>
    <row r="9" spans="2:22" ht="20.25">
      <c r="B9" s="140">
        <v>3</v>
      </c>
      <c r="C9" s="142">
        <v>700</v>
      </c>
      <c r="D9" s="143">
        <f>C9/(1+$C$16)^B9</f>
        <v>485.13511359438706</v>
      </c>
      <c r="E9" s="143">
        <f>K9-K8</f>
        <v>-144.68634975330886</v>
      </c>
      <c r="F9" s="144">
        <f>$C$15*K8</f>
        <v>23.318192497454781</v>
      </c>
      <c r="G9" s="144">
        <f>C9-F9+E9</f>
        <v>531.99545774923638</v>
      </c>
      <c r="H9" s="158">
        <f>G9/(1+$D$15)^B9</f>
        <v>359.08178072958765</v>
      </c>
      <c r="I9" s="158"/>
      <c r="J9" s="143">
        <f>SUM(D10:D12)*(1+$C$16)^B9</f>
        <v>353.98230088495575</v>
      </c>
      <c r="K9" s="143">
        <f>$C$13*J9</f>
        <v>88.495575221238937</v>
      </c>
      <c r="L9" s="143">
        <f>J9-K9</f>
        <v>265.48672566371681</v>
      </c>
      <c r="M9" s="144">
        <f>K9/J9</f>
        <v>0.25</v>
      </c>
      <c r="N9" s="154"/>
      <c r="O9" s="154"/>
      <c r="S9" s="154"/>
      <c r="T9" s="154"/>
    </row>
    <row r="10" spans="2:22" ht="20.25">
      <c r="B10" s="145">
        <v>4</v>
      </c>
      <c r="C10" s="146">
        <v>400</v>
      </c>
      <c r="D10" s="147">
        <f>C10/(1+$C$16)^B10</f>
        <v>245.32749107175073</v>
      </c>
      <c r="E10" s="147">
        <f>K10-K9</f>
        <v>-88.495575221238937</v>
      </c>
      <c r="F10" s="148">
        <f>$C$15*K9</f>
        <v>8.8495575221238933</v>
      </c>
      <c r="G10" s="148">
        <f>C10-F10+E10</f>
        <v>302.65486725663715</v>
      </c>
      <c r="H10" s="149">
        <f>G10/(1+$D$15)^B10</f>
        <v>179.19597775274758</v>
      </c>
      <c r="I10" s="149"/>
      <c r="J10" s="147">
        <v>0</v>
      </c>
      <c r="K10" s="147">
        <v>0</v>
      </c>
      <c r="L10" s="147">
        <v>0</v>
      </c>
      <c r="M10" s="145"/>
      <c r="R10" s="154"/>
      <c r="U10" s="154"/>
      <c r="V10" s="154"/>
    </row>
    <row r="11" spans="2:22" ht="20.25">
      <c r="B11" s="140"/>
      <c r="C11" s="142"/>
      <c r="D11" s="142"/>
      <c r="E11" s="140"/>
      <c r="F11" s="140"/>
      <c r="G11" s="140"/>
      <c r="H11" s="140"/>
      <c r="I11" s="140"/>
      <c r="J11" s="140"/>
      <c r="K11" s="140"/>
      <c r="L11" s="140"/>
      <c r="M11" s="140"/>
      <c r="R11" s="154"/>
      <c r="U11" s="154"/>
      <c r="V11" s="154"/>
    </row>
    <row r="12" spans="2:22" ht="20.25">
      <c r="B12" s="140"/>
      <c r="C12" s="141" t="s">
        <v>1174</v>
      </c>
      <c r="D12" s="141" t="s">
        <v>1175</v>
      </c>
      <c r="E12" s="141" t="s">
        <v>1176</v>
      </c>
      <c r="F12" s="141"/>
      <c r="I12" s="140"/>
      <c r="J12" s="142"/>
      <c r="K12" s="141" t="s">
        <v>1096</v>
      </c>
      <c r="L12" s="140"/>
      <c r="M12" s="140"/>
      <c r="U12" s="154"/>
      <c r="V12" s="154"/>
    </row>
    <row r="13" spans="2:22" ht="20.25">
      <c r="B13" s="139" t="s">
        <v>104</v>
      </c>
      <c r="C13" s="144">
        <v>0.25</v>
      </c>
      <c r="D13" s="144">
        <f>1-C13</f>
        <v>0.75</v>
      </c>
      <c r="E13" s="144">
        <v>500</v>
      </c>
      <c r="F13" s="144"/>
      <c r="I13" s="140"/>
      <c r="J13" s="159" t="s">
        <v>1093</v>
      </c>
      <c r="K13" s="160">
        <f>SUM(H7:H10)+E13</f>
        <v>1407.8986411807055</v>
      </c>
      <c r="L13" s="140"/>
      <c r="M13" s="140"/>
      <c r="P13" s="155"/>
      <c r="Q13" s="155"/>
    </row>
    <row r="14" spans="2:22" ht="21.75">
      <c r="B14" s="139"/>
      <c r="C14" s="189" t="s">
        <v>1178</v>
      </c>
      <c r="D14" s="189" t="s">
        <v>1177</v>
      </c>
      <c r="E14" s="144"/>
      <c r="F14" s="144"/>
      <c r="I14" s="140"/>
      <c r="J14" s="159"/>
      <c r="K14" s="160"/>
      <c r="L14" s="140"/>
      <c r="M14" s="140"/>
      <c r="P14" s="155"/>
      <c r="Q14" s="155"/>
    </row>
    <row r="15" spans="2:22" ht="20.25">
      <c r="B15" s="139" t="s">
        <v>1097</v>
      </c>
      <c r="C15" s="144">
        <v>0.1</v>
      </c>
      <c r="D15" s="144">
        <v>0.14000000000000001</v>
      </c>
      <c r="E15" s="140"/>
      <c r="F15" s="140"/>
      <c r="I15" s="140"/>
      <c r="J15" s="159" t="s">
        <v>1003</v>
      </c>
      <c r="K15" s="160">
        <f>J6-K6+E13</f>
        <v>1407.8986411807061</v>
      </c>
      <c r="L15" s="140"/>
      <c r="M15" s="140"/>
      <c r="Q15" s="155"/>
    </row>
    <row r="16" spans="2:22" ht="20.25">
      <c r="B16" s="150" t="s">
        <v>1098</v>
      </c>
      <c r="C16" s="148">
        <f>C13*C15+D13*D15</f>
        <v>0.13</v>
      </c>
      <c r="D16" s="161"/>
      <c r="E16" s="145"/>
      <c r="F16" s="145"/>
      <c r="G16" s="145"/>
      <c r="H16" s="151"/>
      <c r="I16" s="151"/>
      <c r="J16" s="151"/>
      <c r="K16" s="145"/>
      <c r="L16" s="145"/>
      <c r="M16" s="145"/>
    </row>
    <row r="18" spans="5:23">
      <c r="E18" s="154"/>
      <c r="F18" s="154"/>
      <c r="V18" s="154"/>
      <c r="W18" s="154"/>
    </row>
    <row r="19" spans="5:23">
      <c r="K19" s="155"/>
      <c r="L19" s="155"/>
    </row>
    <row r="20" spans="5:23">
      <c r="K20" s="155"/>
      <c r="L20" s="155"/>
    </row>
  </sheetData>
  <mergeCells count="2">
    <mergeCell ref="C4:H4"/>
    <mergeCell ref="J4:L4"/>
  </mergeCells>
  <pageMargins left="0.7" right="0.7" top="0.75" bottom="0.75" header="0.3" footer="0.3"/>
  <pageSetup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C28BF-9C1A-4AEF-A300-EA965C322D51}">
  <sheetPr codeName="Sheet32">
    <pageSetUpPr fitToPage="1"/>
  </sheetPr>
  <dimension ref="A1:S41"/>
  <sheetViews>
    <sheetView showGridLines="0" workbookViewId="0">
      <selection activeCell="K28" sqref="K28"/>
    </sheetView>
  </sheetViews>
  <sheetFormatPr defaultRowHeight="15"/>
  <cols>
    <col min="1" max="1" width="30.42578125" style="87" bestFit="1" customWidth="1"/>
    <col min="2" max="4" width="9.140625" style="87"/>
    <col min="5" max="5" width="9.5703125" style="87" bestFit="1" customWidth="1"/>
    <col min="6" max="8" width="9.5703125" style="87" customWidth="1"/>
    <col min="9" max="9" width="9.140625" style="87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16384" width="9.140625" style="87"/>
  </cols>
  <sheetData>
    <row r="1" spans="1:17">
      <c r="A1" s="211" t="s">
        <v>1070</v>
      </c>
      <c r="B1" s="211"/>
      <c r="C1" s="211"/>
      <c r="D1" s="211"/>
      <c r="E1" s="211"/>
      <c r="F1" s="131"/>
      <c r="G1" s="131"/>
      <c r="H1" s="131"/>
      <c r="J1" s="212"/>
      <c r="K1" s="212"/>
      <c r="L1" s="212"/>
      <c r="M1" s="212"/>
      <c r="N1" s="212"/>
    </row>
    <row r="2" spans="1:17">
      <c r="A2" s="88"/>
      <c r="E2" s="86"/>
      <c r="F2" s="86"/>
      <c r="G2" s="86"/>
      <c r="H2" s="86"/>
      <c r="J2" s="88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990</v>
      </c>
      <c r="B4" s="89">
        <v>226.66666666666669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993</v>
      </c>
      <c r="K4" s="89">
        <f t="shared" ref="K4:Q4" si="0">B21</f>
        <v>11.285733333333337</v>
      </c>
      <c r="L4" s="89">
        <f t="shared" si="0"/>
        <v>12.83568</v>
      </c>
      <c r="M4" s="89">
        <f t="shared" si="0"/>
        <v>17.14606400000001</v>
      </c>
      <c r="N4" s="89">
        <f t="shared" si="0"/>
        <v>23.075000000000017</v>
      </c>
      <c r="O4" s="89">
        <f t="shared" si="0"/>
        <v>26.85450560000001</v>
      </c>
      <c r="P4" s="89">
        <f t="shared" si="0"/>
        <v>36.241906688</v>
      </c>
      <c r="Q4" s="89">
        <f t="shared" si="0"/>
        <v>47.839316828160001</v>
      </c>
    </row>
    <row r="5" spans="1:17">
      <c r="A5" s="91" t="s">
        <v>992</v>
      </c>
      <c r="C5" s="92">
        <f t="shared" ref="C5:H5" si="1">C4/B4-1</f>
        <v>0.19999999999999996</v>
      </c>
      <c r="D5" s="92">
        <f t="shared" si="1"/>
        <v>0.30000000000000004</v>
      </c>
      <c r="E5" s="92">
        <f t="shared" si="1"/>
        <v>0.25</v>
      </c>
      <c r="F5" s="92">
        <f t="shared" si="1"/>
        <v>0.27</v>
      </c>
      <c r="G5" s="92">
        <f t="shared" si="1"/>
        <v>0.28000000000000003</v>
      </c>
      <c r="H5" s="92">
        <f t="shared" si="1"/>
        <v>0.32000000000000006</v>
      </c>
      <c r="J5" s="87" t="s">
        <v>1071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1072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995</v>
      </c>
      <c r="B7" s="88"/>
      <c r="C7" s="88"/>
      <c r="D7" s="88"/>
      <c r="E7" s="88"/>
      <c r="F7" s="88"/>
      <c r="J7" s="87" t="s">
        <v>1074</v>
      </c>
      <c r="K7" s="94">
        <f>K4+K5-K6</f>
        <v>20.785733333333337</v>
      </c>
      <c r="L7" s="94">
        <f t="shared" ref="L7:Q7" si="2">L4+L5-L6</f>
        <v>21.83568</v>
      </c>
      <c r="M7" s="94">
        <f t="shared" si="2"/>
        <v>24.14606400000001</v>
      </c>
      <c r="N7" s="94">
        <f t="shared" si="2"/>
        <v>29.075000000000017</v>
      </c>
      <c r="O7" s="94">
        <f t="shared" si="2"/>
        <v>34.35450560000001</v>
      </c>
      <c r="P7" s="94">
        <f t="shared" si="2"/>
        <v>44.741906688</v>
      </c>
      <c r="Q7" s="94">
        <f t="shared" si="2"/>
        <v>56.839316828160001</v>
      </c>
    </row>
    <row r="8" spans="1:17">
      <c r="A8" s="87" t="s">
        <v>997</v>
      </c>
      <c r="B8" s="89">
        <v>160.93333333333334</v>
      </c>
      <c r="C8" s="89">
        <v>195.84</v>
      </c>
      <c r="D8" s="89">
        <v>240.44800000000004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998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999</v>
      </c>
      <c r="B9" s="89">
        <f t="shared" ref="B9:H9" si="3">B4-B8</f>
        <v>65.733333333333348</v>
      </c>
      <c r="C9" s="89">
        <f t="shared" si="3"/>
        <v>76.16</v>
      </c>
      <c r="D9" s="89">
        <f t="shared" si="3"/>
        <v>113.15199999999999</v>
      </c>
      <c r="E9" s="89">
        <f t="shared" si="3"/>
        <v>132.60000000000002</v>
      </c>
      <c r="F9" s="89">
        <f t="shared" si="3"/>
        <v>179.62879999999996</v>
      </c>
      <c r="G9" s="89">
        <f t="shared" si="3"/>
        <v>193.99910399999999</v>
      </c>
      <c r="H9" s="89">
        <f t="shared" si="3"/>
        <v>256.07881728000007</v>
      </c>
      <c r="J9" s="87" t="s">
        <v>1000</v>
      </c>
      <c r="K9" s="89">
        <f t="shared" ref="K9:Q9" si="4">B16</f>
        <v>1.2240000000000002</v>
      </c>
      <c r="L9" s="89">
        <f t="shared" si="4"/>
        <v>1.4688000000000001</v>
      </c>
      <c r="M9" s="89">
        <f t="shared" si="4"/>
        <v>1.9094400000000002</v>
      </c>
      <c r="N9" s="89">
        <f t="shared" si="4"/>
        <v>2.4</v>
      </c>
      <c r="O9" s="89">
        <f t="shared" si="4"/>
        <v>3.0312360000000003</v>
      </c>
      <c r="P9" s="89">
        <f t="shared" si="4"/>
        <v>3.8799820800000004</v>
      </c>
      <c r="Q9" s="89">
        <f t="shared" si="4"/>
        <v>5.1215763456000012</v>
      </c>
    </row>
    <row r="10" spans="1:17">
      <c r="A10" s="87" t="s">
        <v>1001</v>
      </c>
      <c r="B10" s="87">
        <f t="shared" ref="B10:H10" si="5">B9/B4</f>
        <v>0.29000000000000004</v>
      </c>
      <c r="C10" s="87">
        <f t="shared" si="5"/>
        <v>0.27999999999999997</v>
      </c>
      <c r="D10" s="87">
        <f t="shared" si="5"/>
        <v>0.31999999999999995</v>
      </c>
      <c r="E10" s="87">
        <f t="shared" si="5"/>
        <v>0.30000000000000004</v>
      </c>
      <c r="F10" s="87">
        <f t="shared" si="5"/>
        <v>0.3199999999999999</v>
      </c>
      <c r="G10" s="87">
        <f t="shared" si="5"/>
        <v>0.26999999999999996</v>
      </c>
      <c r="H10" s="87">
        <f t="shared" si="5"/>
        <v>0.27</v>
      </c>
      <c r="J10" s="87" t="s">
        <v>1002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1073</v>
      </c>
      <c r="K11" s="94">
        <f t="shared" ref="K11:Q11" si="6">K9*(1-K10)</f>
        <v>0.7956000000000002</v>
      </c>
      <c r="L11" s="94">
        <f t="shared" si="6"/>
        <v>0.95472000000000012</v>
      </c>
      <c r="M11" s="94">
        <f t="shared" si="6"/>
        <v>1.2411360000000002</v>
      </c>
      <c r="N11" s="94">
        <f t="shared" si="6"/>
        <v>1.56</v>
      </c>
      <c r="O11" s="94">
        <f t="shared" si="6"/>
        <v>1.9703034000000001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1004</v>
      </c>
      <c r="B12" s="89">
        <v>47.146666666666675</v>
      </c>
      <c r="C12" s="89">
        <v>54.943999999999996</v>
      </c>
      <c r="D12" s="89">
        <v>84.863999999999976</v>
      </c>
      <c r="E12" s="86">
        <v>94.7</v>
      </c>
      <c r="F12" s="89">
        <v>135.28293999999994</v>
      </c>
      <c r="G12" s="89">
        <v>134.36234239999999</v>
      </c>
      <c r="H12" s="89">
        <v>177.35829196800006</v>
      </c>
      <c r="J12" s="87" t="s">
        <v>1003</v>
      </c>
      <c r="K12" s="89">
        <f>K7-K8+K11</f>
        <v>21.581333333333337</v>
      </c>
      <c r="L12" s="89">
        <f>L7-L8+L11</f>
        <v>22.790400000000002</v>
      </c>
      <c r="M12" s="89">
        <f t="shared" ref="M12:Q12" si="7">M7-M8+M11</f>
        <v>25.387200000000011</v>
      </c>
      <c r="N12" s="89">
        <f>N7-N8+N11</f>
        <v>35.635000000000019</v>
      </c>
      <c r="O12" s="89">
        <f>O7-O8+O11</f>
        <v>36.324809000000009</v>
      </c>
      <c r="P12" s="89">
        <f t="shared" si="7"/>
        <v>32.263895040000001</v>
      </c>
      <c r="Q12" s="89">
        <f t="shared" si="7"/>
        <v>60.1683414528</v>
      </c>
    </row>
    <row r="13" spans="1:17">
      <c r="A13" s="87" t="s">
        <v>1005</v>
      </c>
      <c r="B13" s="89">
        <f t="shared" ref="B13:H13" si="8">B9-B12</f>
        <v>18.586666666666673</v>
      </c>
      <c r="C13" s="89">
        <f t="shared" si="8"/>
        <v>21.216000000000001</v>
      </c>
      <c r="D13" s="89">
        <f t="shared" si="8"/>
        <v>28.288000000000011</v>
      </c>
      <c r="E13" s="89">
        <f t="shared" si="8"/>
        <v>37.90000000000002</v>
      </c>
      <c r="F13" s="89">
        <f t="shared" si="8"/>
        <v>44.345860000000016</v>
      </c>
      <c r="G13" s="89">
        <f t="shared" si="8"/>
        <v>59.6367616</v>
      </c>
      <c r="H13" s="89">
        <f t="shared" si="8"/>
        <v>78.720525312000007</v>
      </c>
      <c r="J13" s="87" t="s">
        <v>1084</v>
      </c>
      <c r="K13" s="134">
        <f>K12/B4</f>
        <v>9.5211764705882357E-2</v>
      </c>
      <c r="L13" s="134">
        <f t="shared" ref="L13:Q13" si="9">L12/C4</f>
        <v>8.3788235294117649E-2</v>
      </c>
      <c r="M13" s="134">
        <f t="shared" si="9"/>
        <v>7.1796380090497769E-2</v>
      </c>
      <c r="N13" s="134">
        <f t="shared" si="9"/>
        <v>8.0622171945701399E-2</v>
      </c>
      <c r="O13" s="134">
        <f t="shared" si="9"/>
        <v>6.4710886450279698E-2</v>
      </c>
      <c r="P13" s="134">
        <f t="shared" si="9"/>
        <v>4.490356646595646E-2</v>
      </c>
      <c r="Q13" s="134">
        <f t="shared" si="9"/>
        <v>6.3439265944800913E-2</v>
      </c>
    </row>
    <row r="14" spans="1:17">
      <c r="A14" s="87" t="s">
        <v>1085</v>
      </c>
      <c r="B14" s="135">
        <f t="shared" ref="B14:H14" si="10">B13/B4</f>
        <v>8.2000000000000017E-2</v>
      </c>
      <c r="C14" s="135">
        <f t="shared" si="10"/>
        <v>7.8E-2</v>
      </c>
      <c r="D14" s="135">
        <f t="shared" si="10"/>
        <v>8.0000000000000029E-2</v>
      </c>
      <c r="E14" s="135">
        <f t="shared" si="10"/>
        <v>8.5746606334841671E-2</v>
      </c>
      <c r="F14" s="135">
        <f t="shared" si="10"/>
        <v>7.9000000000000029E-2</v>
      </c>
      <c r="G14" s="135">
        <f t="shared" si="10"/>
        <v>8.299999999999999E-2</v>
      </c>
      <c r="H14" s="135">
        <f t="shared" si="10"/>
        <v>8.299999999999999E-2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954</v>
      </c>
    </row>
    <row r="16" spans="1:17">
      <c r="A16" s="87" t="s">
        <v>1006</v>
      </c>
      <c r="B16" s="89">
        <v>1.2240000000000002</v>
      </c>
      <c r="C16" s="89">
        <v>1.4688000000000001</v>
      </c>
      <c r="D16" s="89">
        <v>1.9094400000000002</v>
      </c>
      <c r="E16" s="89">
        <v>2.4</v>
      </c>
      <c r="F16" s="89">
        <v>3.0312360000000003</v>
      </c>
      <c r="G16" s="89">
        <v>3.8799820800000004</v>
      </c>
      <c r="H16" s="89">
        <v>5.1215763456000012</v>
      </c>
      <c r="J16" s="91" t="s">
        <v>1010</v>
      </c>
      <c r="L16" s="186">
        <f t="shared" ref="L16:Q16" si="11">L4/K4-1</f>
        <v>0.13733681462140956</v>
      </c>
      <c r="M16" s="186">
        <f t="shared" si="11"/>
        <v>0.33581267217630928</v>
      </c>
      <c r="N16" s="186">
        <f t="shared" si="11"/>
        <v>0.34578991423337757</v>
      </c>
      <c r="O16" s="186">
        <f t="shared" si="11"/>
        <v>0.16379222535211224</v>
      </c>
      <c r="P16" s="186">
        <f t="shared" si="11"/>
        <v>0.34956521739130375</v>
      </c>
      <c r="Q16" s="186">
        <f t="shared" si="11"/>
        <v>0.32000000000000006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1074</v>
      </c>
      <c r="K17" s="88"/>
      <c r="L17" s="186">
        <f t="shared" ref="L17:Q17" si="12">L7/K7-1</f>
        <v>5.0512851763709454E-2</v>
      </c>
      <c r="M17" s="186">
        <f t="shared" si="12"/>
        <v>0.1058077421907635</v>
      </c>
      <c r="N17" s="186">
        <f t="shared" si="12"/>
        <v>0.20412999816450439</v>
      </c>
      <c r="O17" s="186">
        <f t="shared" si="12"/>
        <v>0.18158230782459128</v>
      </c>
      <c r="P17" s="186">
        <f t="shared" si="12"/>
        <v>0.30235920752123957</v>
      </c>
      <c r="Q17" s="186">
        <f t="shared" si="12"/>
        <v>0.2703820877487233</v>
      </c>
    </row>
    <row r="18" spans="1:19">
      <c r="B18" s="88"/>
      <c r="C18" s="88"/>
      <c r="D18" s="88"/>
      <c r="F18" s="96"/>
      <c r="G18" s="89"/>
      <c r="H18" s="89"/>
      <c r="J18" s="91" t="s">
        <v>1003</v>
      </c>
      <c r="K18" s="88"/>
      <c r="L18" s="186">
        <f t="shared" ref="L18:Q18" si="13">L12/K12-1</f>
        <v>5.6023724206103909E-2</v>
      </c>
      <c r="M18" s="186">
        <f t="shared" si="13"/>
        <v>0.11394271272114609</v>
      </c>
      <c r="N18" s="186">
        <f t="shared" si="13"/>
        <v>0.40366011218251741</v>
      </c>
      <c r="O18" s="186">
        <f t="shared" si="13"/>
        <v>1.935762592956336E-2</v>
      </c>
      <c r="P18" s="186">
        <f t="shared" si="13"/>
        <v>-0.11179450275980818</v>
      </c>
      <c r="Q18" s="186">
        <f t="shared" si="13"/>
        <v>0.86488151471496977</v>
      </c>
    </row>
    <row r="19" spans="1:19">
      <c r="A19" s="87" t="s">
        <v>1008</v>
      </c>
      <c r="B19" s="89">
        <f>B13-B16</f>
        <v>17.362666666666673</v>
      </c>
      <c r="C19" s="89">
        <f t="shared" ref="C19:H19" si="14">C13-C16</f>
        <v>19.747199999999999</v>
      </c>
      <c r="D19" s="89">
        <f t="shared" si="14"/>
        <v>26.378560000000011</v>
      </c>
      <c r="E19" s="89">
        <f t="shared" si="14"/>
        <v>35.500000000000021</v>
      </c>
      <c r="F19" s="89">
        <f t="shared" si="14"/>
        <v>41.314624000000016</v>
      </c>
      <c r="G19" s="89">
        <f t="shared" si="14"/>
        <v>55.756779520000002</v>
      </c>
      <c r="H19" s="89">
        <f t="shared" si="14"/>
        <v>73.598948966400002</v>
      </c>
      <c r="N19" s="96"/>
      <c r="R19" s="87" t="s">
        <v>1076</v>
      </c>
    </row>
    <row r="20" spans="1:19">
      <c r="A20" s="87" t="s">
        <v>1009</v>
      </c>
      <c r="B20" s="89">
        <f>0.35*B19</f>
        <v>6.0769333333333355</v>
      </c>
      <c r="C20" s="89">
        <f t="shared" ref="C20:H20" si="15">0.35*C19</f>
        <v>6.9115199999999994</v>
      </c>
      <c r="D20" s="89">
        <f t="shared" si="15"/>
        <v>9.2324960000000029</v>
      </c>
      <c r="E20" s="87">
        <f t="shared" si="15"/>
        <v>12.425000000000006</v>
      </c>
      <c r="F20" s="89">
        <f t="shared" si="15"/>
        <v>14.460118400000004</v>
      </c>
      <c r="G20" s="89">
        <f t="shared" si="15"/>
        <v>19.514872831999998</v>
      </c>
      <c r="H20" s="89">
        <f t="shared" si="15"/>
        <v>25.759632138240001</v>
      </c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1077</v>
      </c>
    </row>
    <row r="21" spans="1:19">
      <c r="A21" s="93" t="s">
        <v>1010</v>
      </c>
      <c r="B21" s="89">
        <f t="shared" ref="B21:H21" si="16">B19-B20</f>
        <v>11.285733333333337</v>
      </c>
      <c r="C21" s="89">
        <f t="shared" si="16"/>
        <v>12.83568</v>
      </c>
      <c r="D21" s="89">
        <f t="shared" si="16"/>
        <v>17.14606400000001</v>
      </c>
      <c r="E21" s="89">
        <f t="shared" si="16"/>
        <v>23.075000000000017</v>
      </c>
      <c r="F21" s="89">
        <f>F19-F20</f>
        <v>26.85450560000001</v>
      </c>
      <c r="G21" s="89">
        <f t="shared" si="16"/>
        <v>36.241906688</v>
      </c>
      <c r="H21" s="89">
        <f t="shared" si="16"/>
        <v>47.839316828160001</v>
      </c>
      <c r="I21" s="89"/>
      <c r="J21" s="87" t="s">
        <v>1098</v>
      </c>
      <c r="K21" s="87">
        <v>0.18</v>
      </c>
    </row>
    <row r="22" spans="1:19">
      <c r="G22" s="96"/>
      <c r="J22" s="87" t="s">
        <v>1075</v>
      </c>
      <c r="O22" s="89">
        <f>O12</f>
        <v>36.324809000000009</v>
      </c>
      <c r="P22" s="89">
        <f>P12</f>
        <v>32.263895040000001</v>
      </c>
      <c r="Q22" s="89">
        <f>Q12</f>
        <v>60.1683414528</v>
      </c>
      <c r="R22" s="94">
        <f>S22*(H13+Q5)</f>
        <v>865.75479822120917</v>
      </c>
      <c r="S22" s="94">
        <v>9.6494619844297276</v>
      </c>
    </row>
    <row r="23" spans="1:19">
      <c r="H23" s="96"/>
      <c r="J23" s="87" t="s">
        <v>1100</v>
      </c>
      <c r="K23" s="89">
        <f>SUM(O23:R23)</f>
        <v>617.50057203560812</v>
      </c>
      <c r="O23" s="89">
        <f>O22/(1+$K$21)^1</f>
        <v>30.783736440677977</v>
      </c>
      <c r="P23" s="89">
        <f>P22/(1+$K$21)^2</f>
        <v>23.171427061189316</v>
      </c>
      <c r="Q23" s="89">
        <f>Q22/(1+$K$21)^3</f>
        <v>36.620310166083193</v>
      </c>
      <c r="R23" s="89">
        <f>R22/(1+$K$21)^3</f>
        <v>526.9250983676576</v>
      </c>
    </row>
    <row r="24" spans="1:19">
      <c r="G24" s="133"/>
      <c r="J24" s="87" t="s">
        <v>1081</v>
      </c>
      <c r="K24" s="87">
        <f>30-20</f>
        <v>10</v>
      </c>
      <c r="N24" s="93"/>
    </row>
    <row r="25" spans="1:19">
      <c r="H25" s="133"/>
      <c r="J25" s="87" t="s">
        <v>1082</v>
      </c>
      <c r="K25" s="89">
        <f>K23-K24</f>
        <v>607.50057203560812</v>
      </c>
    </row>
    <row r="26" spans="1:19">
      <c r="J26" s="87" t="s">
        <v>1078</v>
      </c>
      <c r="K26" s="87">
        <v>50</v>
      </c>
      <c r="N26" s="93"/>
    </row>
    <row r="27" spans="1:19">
      <c r="J27" s="87" t="s">
        <v>1079</v>
      </c>
      <c r="K27" s="94">
        <f>K25/K26</f>
        <v>12.150011440712163</v>
      </c>
    </row>
    <row r="28" spans="1:19">
      <c r="J28" s="87" t="s">
        <v>1080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60BD4-2147-43AF-A2A0-0A5C917E704C}">
  <sheetPr>
    <pageSetUpPr fitToPage="1"/>
  </sheetPr>
  <dimension ref="A1:S38"/>
  <sheetViews>
    <sheetView showGridLines="0" workbookViewId="0">
      <selection activeCell="L21" sqref="L21"/>
    </sheetView>
  </sheetViews>
  <sheetFormatPr defaultRowHeight="15"/>
  <cols>
    <col min="1" max="1" width="30.42578125" style="87" bestFit="1" customWidth="1"/>
    <col min="2" max="4" width="9.140625" style="87"/>
    <col min="5" max="5" width="9.5703125" style="87" bestFit="1" customWidth="1"/>
    <col min="6" max="8" width="9.5703125" style="87" customWidth="1"/>
    <col min="9" max="9" width="9.140625" style="87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16384" width="9.140625" style="87"/>
  </cols>
  <sheetData>
    <row r="1" spans="1:17">
      <c r="A1" s="211" t="s">
        <v>1070</v>
      </c>
      <c r="B1" s="211"/>
      <c r="C1" s="211"/>
      <c r="D1" s="211"/>
      <c r="E1" s="211"/>
      <c r="F1" s="131"/>
      <c r="G1" s="131"/>
      <c r="H1" s="131"/>
      <c r="J1" s="212"/>
      <c r="K1" s="212"/>
      <c r="L1" s="212"/>
      <c r="M1" s="212"/>
      <c r="N1" s="212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990</v>
      </c>
      <c r="B4" s="89">
        <v>226.66666666666669</v>
      </c>
      <c r="C4" s="89">
        <f>B4*(1+C6)</f>
        <v>272</v>
      </c>
      <c r="D4" s="89">
        <f>C4*(1+D6)</f>
        <v>353.6</v>
      </c>
      <c r="E4" s="89">
        <f>D4*(1+E6)</f>
        <v>442</v>
      </c>
      <c r="F4" s="89">
        <f>E4*(1+F5)</f>
        <v>583.44000000000005</v>
      </c>
      <c r="G4" s="89">
        <f>F4*(1+G5)</f>
        <v>775.97520000000009</v>
      </c>
      <c r="H4" s="89">
        <f>G4*(1+H5)</f>
        <v>1063.0860240000002</v>
      </c>
      <c r="J4" s="87" t="s">
        <v>993</v>
      </c>
      <c r="K4" s="89">
        <f t="shared" ref="K4:Q4" si="0">B23</f>
        <v>11.285733333333337</v>
      </c>
      <c r="L4" s="89">
        <f t="shared" si="0"/>
        <v>12.83568</v>
      </c>
      <c r="M4" s="89">
        <f t="shared" si="0"/>
        <v>17.146064000000003</v>
      </c>
      <c r="N4" s="89">
        <f t="shared" si="0"/>
        <v>23.075000000000017</v>
      </c>
      <c r="O4" s="89">
        <f t="shared" si="0"/>
        <v>27.989340600000006</v>
      </c>
      <c r="P4" s="89">
        <f t="shared" si="0"/>
        <v>39.341873688000007</v>
      </c>
      <c r="Q4" s="89">
        <f t="shared" si="0"/>
        <v>54.02446637016002</v>
      </c>
    </row>
    <row r="5" spans="1:17">
      <c r="A5" s="87" t="s">
        <v>1087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0.37000000000000005</v>
      </c>
      <c r="J5" s="87" t="s">
        <v>1071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1086</v>
      </c>
      <c r="C6" s="92">
        <v>0.19999999999999996</v>
      </c>
      <c r="D6" s="92">
        <v>0.30000000000000004</v>
      </c>
      <c r="E6" s="92">
        <v>0.25</v>
      </c>
      <c r="F6" s="92">
        <v>0.27</v>
      </c>
      <c r="G6" s="92">
        <v>0.28000000000000003</v>
      </c>
      <c r="H6" s="92">
        <v>0.32000000000000006</v>
      </c>
      <c r="J6" s="87" t="s">
        <v>1072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1088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1074</v>
      </c>
      <c r="K7" s="94">
        <f>K4+K5-K6</f>
        <v>20.785733333333337</v>
      </c>
      <c r="L7" s="94">
        <f t="shared" ref="L7:Q7" si="1">L4+L5-L6</f>
        <v>21.83568</v>
      </c>
      <c r="M7" s="94">
        <f t="shared" si="1"/>
        <v>24.146064000000003</v>
      </c>
      <c r="N7" s="94">
        <f t="shared" si="1"/>
        <v>29.075000000000017</v>
      </c>
      <c r="O7" s="94">
        <f t="shared" si="1"/>
        <v>35.489340600000006</v>
      </c>
      <c r="P7" s="94">
        <f t="shared" si="1"/>
        <v>47.841873688000007</v>
      </c>
      <c r="Q7" s="94">
        <f t="shared" si="1"/>
        <v>63.024466370160013</v>
      </c>
    </row>
    <row r="8" spans="1:17">
      <c r="A8" s="91"/>
      <c r="C8" s="92"/>
      <c r="D8" s="92"/>
      <c r="E8" s="92"/>
      <c r="F8" s="92"/>
      <c r="G8" s="92"/>
      <c r="H8" s="92"/>
      <c r="J8" s="87" t="s">
        <v>998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995</v>
      </c>
      <c r="B9" s="137"/>
      <c r="C9" s="88"/>
      <c r="D9" s="88"/>
      <c r="E9" s="88"/>
      <c r="F9" s="88"/>
      <c r="J9" s="87" t="s">
        <v>1000</v>
      </c>
      <c r="K9" s="89">
        <f>B18</f>
        <v>1.2240000000000002</v>
      </c>
      <c r="L9" s="89">
        <f t="shared" ref="L9:Q9" si="2">C18</f>
        <v>1.4688000000000001</v>
      </c>
      <c r="M9" s="89">
        <f t="shared" si="2"/>
        <v>1.9094400000000002</v>
      </c>
      <c r="N9" s="89">
        <f t="shared" si="2"/>
        <v>2.4</v>
      </c>
      <c r="O9" s="89">
        <f t="shared" si="2"/>
        <v>3.0312360000000003</v>
      </c>
      <c r="P9" s="89">
        <f t="shared" si="2"/>
        <v>3.8799820800000004</v>
      </c>
      <c r="Q9" s="89">
        <f t="shared" si="2"/>
        <v>5.1215763456000012</v>
      </c>
    </row>
    <row r="10" spans="1:17">
      <c r="A10" s="87" t="s">
        <v>997</v>
      </c>
      <c r="B10" s="89">
        <f>B4-B11</f>
        <v>160.93333333333334</v>
      </c>
      <c r="C10" s="89">
        <f>C4-C11</f>
        <v>195.84</v>
      </c>
      <c r="D10" s="89">
        <f t="shared" ref="D10:H10" si="3">D4-D11</f>
        <v>240.44800000000004</v>
      </c>
      <c r="E10" s="89">
        <f t="shared" si="3"/>
        <v>309.39999999999998</v>
      </c>
      <c r="F10" s="89">
        <f t="shared" si="3"/>
        <v>396.7392000000001</v>
      </c>
      <c r="G10" s="89">
        <f t="shared" si="3"/>
        <v>566.46189600000002</v>
      </c>
      <c r="H10" s="89">
        <f t="shared" si="3"/>
        <v>776.05279752000013</v>
      </c>
      <c r="J10" s="87" t="s">
        <v>1002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999</v>
      </c>
      <c r="B11" s="89">
        <f>B12*B4</f>
        <v>65.733333333333348</v>
      </c>
      <c r="C11" s="89">
        <f t="shared" ref="C11:H11" si="4">C12*C4</f>
        <v>76.16</v>
      </c>
      <c r="D11" s="89">
        <f t="shared" si="4"/>
        <v>113.15199999999999</v>
      </c>
      <c r="E11" s="89">
        <f t="shared" si="4"/>
        <v>132.60000000000002</v>
      </c>
      <c r="F11" s="89">
        <f t="shared" si="4"/>
        <v>186.70079999999996</v>
      </c>
      <c r="G11" s="89">
        <f t="shared" si="4"/>
        <v>209.51330400000001</v>
      </c>
      <c r="H11" s="89">
        <f t="shared" si="4"/>
        <v>287.03322648000005</v>
      </c>
      <c r="J11" s="87" t="s">
        <v>1073</v>
      </c>
      <c r="K11" s="94">
        <f t="shared" ref="K11:Q11" si="5">K9*(1-K10)</f>
        <v>0.7956000000000002</v>
      </c>
      <c r="L11" s="94">
        <f t="shared" si="5"/>
        <v>0.95472000000000012</v>
      </c>
      <c r="M11" s="94">
        <f t="shared" si="5"/>
        <v>1.2411360000000002</v>
      </c>
      <c r="N11" s="94">
        <f t="shared" si="5"/>
        <v>1.56</v>
      </c>
      <c r="O11" s="94">
        <f t="shared" si="5"/>
        <v>1.9703034000000001</v>
      </c>
      <c r="P11" s="94">
        <f t="shared" si="5"/>
        <v>2.5219883520000002</v>
      </c>
      <c r="Q11" s="94">
        <f t="shared" si="5"/>
        <v>3.329024624640001</v>
      </c>
    </row>
    <row r="12" spans="1:17">
      <c r="A12" s="87" t="s">
        <v>1001</v>
      </c>
      <c r="B12" s="87">
        <v>0.29000000000000004</v>
      </c>
      <c r="C12" s="87">
        <v>0.27999999999999997</v>
      </c>
      <c r="D12" s="87">
        <v>0.31999999999999995</v>
      </c>
      <c r="E12" s="87">
        <v>0.30000000000000004</v>
      </c>
      <c r="F12" s="87">
        <v>0.3199999999999999</v>
      </c>
      <c r="G12" s="87">
        <v>0.26999999999999996</v>
      </c>
      <c r="H12" s="87">
        <v>0.27</v>
      </c>
      <c r="J12" s="87" t="s">
        <v>1003</v>
      </c>
      <c r="K12" s="89">
        <f>K7-K8+K11</f>
        <v>21.581333333333337</v>
      </c>
      <c r="L12" s="89">
        <f t="shared" ref="L12:Q12" si="6">L7-L8+L11</f>
        <v>22.790400000000002</v>
      </c>
      <c r="M12" s="89">
        <f t="shared" si="6"/>
        <v>25.387200000000004</v>
      </c>
      <c r="N12" s="89">
        <f t="shared" si="6"/>
        <v>35.635000000000019</v>
      </c>
      <c r="O12" s="89">
        <f>O7-O8+O11</f>
        <v>37.459644000000004</v>
      </c>
      <c r="P12" s="89">
        <f t="shared" si="6"/>
        <v>35.363862040000008</v>
      </c>
      <c r="Q12" s="89">
        <f t="shared" si="6"/>
        <v>66.353490994800012</v>
      </c>
    </row>
    <row r="13" spans="1:17">
      <c r="A13" s="88"/>
      <c r="F13" s="86"/>
      <c r="J13" s="91" t="s">
        <v>954</v>
      </c>
      <c r="L13" s="132">
        <f t="shared" ref="L13:Q13" si="7">L12/K12-1</f>
        <v>5.6023724206103909E-2</v>
      </c>
      <c r="M13" s="132">
        <f t="shared" si="7"/>
        <v>0.11394271272114587</v>
      </c>
      <c r="N13" s="132">
        <f t="shared" si="7"/>
        <v>0.40366011218251785</v>
      </c>
      <c r="O13" s="132">
        <f t="shared" si="7"/>
        <v>5.1203704223375501E-2</v>
      </c>
      <c r="P13" s="132">
        <f t="shared" si="7"/>
        <v>-5.5947727639910183E-2</v>
      </c>
      <c r="Q13" s="132">
        <f t="shared" si="7"/>
        <v>0.87630782293369669</v>
      </c>
    </row>
    <row r="14" spans="1:17">
      <c r="A14" s="87" t="s">
        <v>1004</v>
      </c>
      <c r="B14" s="89">
        <f>B11-B15</f>
        <v>47.146666666666675</v>
      </c>
      <c r="C14" s="89">
        <f>C11-C15</f>
        <v>54.943999999999996</v>
      </c>
      <c r="D14" s="89">
        <f>D11-D15</f>
        <v>84.863999999999976</v>
      </c>
      <c r="E14" s="89">
        <f>E11-E15</f>
        <v>94.7</v>
      </c>
      <c r="F14" s="89">
        <f>F11-F15</f>
        <v>140.60903999999994</v>
      </c>
      <c r="G14" s="89">
        <v>134.36234239999999</v>
      </c>
      <c r="H14" s="89">
        <v>177.35829196800006</v>
      </c>
      <c r="J14" s="87" t="s">
        <v>1084</v>
      </c>
      <c r="K14" s="134">
        <f t="shared" ref="K14:Q14" si="8">K12/B4</f>
        <v>9.5211764705882357E-2</v>
      </c>
      <c r="L14" s="134">
        <f t="shared" si="8"/>
        <v>8.3788235294117649E-2</v>
      </c>
      <c r="M14" s="134">
        <f t="shared" si="8"/>
        <v>7.1796380090497741E-2</v>
      </c>
      <c r="N14" s="134">
        <f t="shared" si="8"/>
        <v>8.0622171945701399E-2</v>
      </c>
      <c r="O14" s="134">
        <f t="shared" si="8"/>
        <v>6.4204792266556968E-2</v>
      </c>
      <c r="P14" s="134">
        <f t="shared" si="8"/>
        <v>4.5573443635827542E-2</v>
      </c>
      <c r="Q14" s="134">
        <f t="shared" si="8"/>
        <v>6.2415918840825625E-2</v>
      </c>
    </row>
    <row r="15" spans="1:17">
      <c r="A15" s="87" t="s">
        <v>1005</v>
      </c>
      <c r="B15" s="89">
        <f>B16*B4</f>
        <v>18.58666666666667</v>
      </c>
      <c r="C15" s="89">
        <f t="shared" ref="C15:H15" si="9">C16*C4</f>
        <v>21.216000000000001</v>
      </c>
      <c r="D15" s="89">
        <f t="shared" si="9"/>
        <v>28.288000000000004</v>
      </c>
      <c r="E15" s="89">
        <f t="shared" si="9"/>
        <v>37.90000000000002</v>
      </c>
      <c r="F15" s="89">
        <f t="shared" si="9"/>
        <v>46.091760000000008</v>
      </c>
      <c r="G15" s="89">
        <f t="shared" si="9"/>
        <v>64.405941600000006</v>
      </c>
      <c r="H15" s="89">
        <f t="shared" si="9"/>
        <v>88.236139992000034</v>
      </c>
    </row>
    <row r="16" spans="1:17">
      <c r="A16" s="87" t="s">
        <v>1085</v>
      </c>
      <c r="B16" s="135">
        <v>8.2000000000000003E-2</v>
      </c>
      <c r="C16" s="135">
        <v>7.8E-2</v>
      </c>
      <c r="D16" s="135">
        <v>0.08</v>
      </c>
      <c r="E16" s="135">
        <v>8.5746606334841671E-2</v>
      </c>
      <c r="F16" s="135">
        <v>7.9000000000000001E-2</v>
      </c>
      <c r="G16" s="135">
        <v>8.3000000000000004E-2</v>
      </c>
      <c r="H16" s="135">
        <v>8.3000000000000018E-2</v>
      </c>
      <c r="J16" s="91" t="s">
        <v>954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1010</v>
      </c>
      <c r="L17" s="97">
        <f t="shared" ref="L17:Q17" si="10">L4/K4-1</f>
        <v>0.13733681462140956</v>
      </c>
      <c r="M17" s="97">
        <f t="shared" si="10"/>
        <v>0.33581267217630884</v>
      </c>
      <c r="N17" s="97">
        <f t="shared" si="10"/>
        <v>0.34578991423337824</v>
      </c>
      <c r="O17" s="97">
        <f t="shared" si="10"/>
        <v>0.21297250704225279</v>
      </c>
      <c r="P17" s="97">
        <f t="shared" si="10"/>
        <v>0.40560202007760049</v>
      </c>
      <c r="Q17" s="97">
        <f t="shared" si="10"/>
        <v>0.37320522145437307</v>
      </c>
    </row>
    <row r="18" spans="1:19">
      <c r="A18" s="87" t="s">
        <v>1006</v>
      </c>
      <c r="B18" s="89">
        <v>1.2240000000000002</v>
      </c>
      <c r="C18" s="89">
        <v>1.4688000000000001</v>
      </c>
      <c r="D18" s="89">
        <v>1.9094400000000002</v>
      </c>
      <c r="E18" s="89">
        <v>2.4</v>
      </c>
      <c r="F18" s="89">
        <v>3.0312360000000003</v>
      </c>
      <c r="G18" s="89">
        <v>3.8799820800000004</v>
      </c>
      <c r="H18" s="89">
        <v>5.1215763456000012</v>
      </c>
      <c r="J18" s="87" t="s">
        <v>1074</v>
      </c>
      <c r="K18" s="88"/>
      <c r="L18" s="97">
        <f t="shared" ref="L18:Q18" si="11">L7/K7-1</f>
        <v>5.0512851763709454E-2</v>
      </c>
      <c r="M18" s="97">
        <f t="shared" si="11"/>
        <v>0.10580774219076305</v>
      </c>
      <c r="N18" s="97">
        <f t="shared" si="11"/>
        <v>0.20412999816450483</v>
      </c>
      <c r="O18" s="97">
        <f t="shared" si="11"/>
        <v>0.22061360619088521</v>
      </c>
      <c r="P18" s="97">
        <f t="shared" si="11"/>
        <v>0.34806318965531857</v>
      </c>
      <c r="Q18" s="97">
        <f t="shared" si="11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1076</v>
      </c>
    </row>
    <row r="20" spans="1:19">
      <c r="B20" s="88"/>
      <c r="C20" s="88"/>
      <c r="D20" s="88"/>
      <c r="F20" s="96"/>
      <c r="G20" s="89"/>
      <c r="H20" s="89"/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1077</v>
      </c>
    </row>
    <row r="21" spans="1:19">
      <c r="A21" s="87" t="s">
        <v>1008</v>
      </c>
      <c r="B21" s="89">
        <f>B15-B18</f>
        <v>17.362666666666669</v>
      </c>
      <c r="C21" s="89">
        <f t="shared" ref="C21:H21" si="12">C15-C18</f>
        <v>19.747199999999999</v>
      </c>
      <c r="D21" s="89">
        <f t="shared" si="12"/>
        <v>26.378560000000004</v>
      </c>
      <c r="E21" s="89">
        <f t="shared" si="12"/>
        <v>35.500000000000021</v>
      </c>
      <c r="F21" s="89">
        <f t="shared" si="12"/>
        <v>43.060524000000008</v>
      </c>
      <c r="G21" s="89">
        <f t="shared" si="12"/>
        <v>60.525959520000008</v>
      </c>
      <c r="H21" s="89">
        <f t="shared" si="12"/>
        <v>83.114563646400029</v>
      </c>
      <c r="J21" s="87" t="s">
        <v>1098</v>
      </c>
      <c r="K21" s="87">
        <v>0.18</v>
      </c>
    </row>
    <row r="22" spans="1:19">
      <c r="A22" s="87" t="s">
        <v>1009</v>
      </c>
      <c r="B22" s="89">
        <f t="shared" ref="B22:H22" si="13">0.35*B21</f>
        <v>6.0769333333333337</v>
      </c>
      <c r="C22" s="89">
        <f t="shared" si="13"/>
        <v>6.9115199999999994</v>
      </c>
      <c r="D22" s="89">
        <f t="shared" si="13"/>
        <v>9.2324960000000011</v>
      </c>
      <c r="E22" s="87">
        <f t="shared" si="13"/>
        <v>12.425000000000006</v>
      </c>
      <c r="F22" s="89">
        <f t="shared" si="13"/>
        <v>15.071183400000002</v>
      </c>
      <c r="G22" s="89">
        <f t="shared" si="13"/>
        <v>21.184085832000001</v>
      </c>
      <c r="H22" s="89">
        <f t="shared" si="13"/>
        <v>29.090097276240009</v>
      </c>
      <c r="J22" s="87" t="s">
        <v>1075</v>
      </c>
      <c r="O22" s="89">
        <f>O12</f>
        <v>37.459644000000004</v>
      </c>
      <c r="P22" s="89">
        <f>P12</f>
        <v>35.363862040000008</v>
      </c>
      <c r="Q22" s="89">
        <f>Q12</f>
        <v>66.353490994800012</v>
      </c>
      <c r="R22" s="94">
        <f>S22*(H15+Q5)</f>
        <v>957.57432078014892</v>
      </c>
      <c r="S22" s="94">
        <v>9.64945150886909</v>
      </c>
    </row>
    <row r="23" spans="1:19">
      <c r="A23" s="93" t="s">
        <v>1010</v>
      </c>
      <c r="B23" s="96">
        <f>B21-B22</f>
        <v>11.285733333333337</v>
      </c>
      <c r="C23" s="96">
        <f t="shared" ref="C23:H23" si="14">C21-C22</f>
        <v>12.83568</v>
      </c>
      <c r="D23" s="96">
        <f t="shared" si="14"/>
        <v>17.146064000000003</v>
      </c>
      <c r="E23" s="96">
        <f t="shared" si="14"/>
        <v>23.075000000000017</v>
      </c>
      <c r="F23" s="96">
        <f t="shared" si="14"/>
        <v>27.989340600000006</v>
      </c>
      <c r="G23" s="96">
        <f>G21-G22</f>
        <v>39.341873688000007</v>
      </c>
      <c r="H23" s="96">
        <f t="shared" si="14"/>
        <v>54.02446637016002</v>
      </c>
      <c r="J23" s="87" t="s">
        <v>1083</v>
      </c>
      <c r="K23" s="89">
        <f>SUM(O23:R23)</f>
        <v>680.33731375149671</v>
      </c>
      <c r="O23" s="89">
        <f>O22/(1+$K$21)^1</f>
        <v>31.745461016949157</v>
      </c>
      <c r="P23" s="89">
        <f>P22/(1+$K$21)^2</f>
        <v>25.397775093363983</v>
      </c>
      <c r="Q23" s="89">
        <f>Q22/(1+$K$21)^3</f>
        <v>40.384783129482578</v>
      </c>
      <c r="R23" s="89">
        <f>R22/(1+$K$21)^3</f>
        <v>582.80929451170095</v>
      </c>
    </row>
    <row r="24" spans="1:19">
      <c r="G24" s="96"/>
      <c r="J24" s="87" t="s">
        <v>1081</v>
      </c>
      <c r="K24" s="87">
        <f>30-20</f>
        <v>10</v>
      </c>
      <c r="N24" s="93"/>
    </row>
    <row r="25" spans="1:19">
      <c r="H25" s="96"/>
      <c r="J25" s="87" t="s">
        <v>1082</v>
      </c>
      <c r="K25" s="89">
        <f>K23-K24</f>
        <v>670.33731375149671</v>
      </c>
    </row>
    <row r="26" spans="1:19">
      <c r="G26" s="133"/>
      <c r="J26" s="87" t="s">
        <v>1078</v>
      </c>
      <c r="K26" s="87">
        <v>50</v>
      </c>
      <c r="N26" s="93"/>
    </row>
    <row r="27" spans="1:19">
      <c r="H27" s="133"/>
      <c r="J27" s="87" t="s">
        <v>1079</v>
      </c>
      <c r="K27" s="94">
        <f>K25/K26</f>
        <v>13.406746275029935</v>
      </c>
    </row>
    <row r="28" spans="1:19">
      <c r="J28" s="87" t="s">
        <v>1080</v>
      </c>
      <c r="K28" s="87">
        <v>12.15</v>
      </c>
    </row>
    <row r="29" spans="1:19">
      <c r="J29" s="136" t="s">
        <v>132</v>
      </c>
      <c r="K29" s="138">
        <f>K27/K28-1</f>
        <v>0.10343590740987119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575B-707B-4BE3-95C9-8DE30CD2A4E2}">
  <dimension ref="B1:F43"/>
  <sheetViews>
    <sheetView showGridLines="0" zoomScale="80" zoomScaleNormal="80" workbookViewId="0">
      <selection activeCell="H24" sqref="H24"/>
    </sheetView>
  </sheetViews>
  <sheetFormatPr defaultRowHeight="15"/>
  <cols>
    <col min="1" max="1" width="8.5703125" style="87" customWidth="1"/>
    <col min="2" max="2" width="9.140625" style="166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/>
    <col min="10" max="10" width="10.140625" style="87" bestFit="1" customWidth="1"/>
    <col min="11" max="16384" width="9.140625" style="87"/>
  </cols>
  <sheetData>
    <row r="1" spans="2:6">
      <c r="B1" s="167"/>
      <c r="C1" s="162"/>
      <c r="D1" s="112"/>
      <c r="E1" s="112"/>
      <c r="F1" s="112"/>
    </row>
    <row r="2" spans="2:6">
      <c r="E2" s="213" t="s">
        <v>1104</v>
      </c>
      <c r="F2" s="213"/>
    </row>
    <row r="3" spans="2:6">
      <c r="B3" s="167" t="s">
        <v>1121</v>
      </c>
      <c r="C3" s="162"/>
      <c r="D3" s="112"/>
      <c r="E3" s="163" t="s">
        <v>135</v>
      </c>
      <c r="F3" s="163" t="s">
        <v>136</v>
      </c>
    </row>
    <row r="4" spans="2:6">
      <c r="C4" s="214"/>
      <c r="D4" s="214"/>
      <c r="E4" s="214"/>
      <c r="F4" s="214"/>
    </row>
    <row r="5" spans="2:6">
      <c r="B5" s="168">
        <v>1</v>
      </c>
      <c r="C5" s="88" t="s">
        <v>1128</v>
      </c>
      <c r="D5" s="87" t="s">
        <v>1015</v>
      </c>
      <c r="E5" s="87">
        <v>200</v>
      </c>
      <c r="F5" s="87">
        <v>200</v>
      </c>
    </row>
    <row r="6" spans="2:6">
      <c r="B6" s="168">
        <f>B5+1</f>
        <v>2</v>
      </c>
      <c r="C6" s="88" t="s">
        <v>1012</v>
      </c>
      <c r="D6" s="87" t="s">
        <v>1127</v>
      </c>
      <c r="E6" s="87">
        <v>20</v>
      </c>
      <c r="F6" s="87">
        <v>20</v>
      </c>
    </row>
    <row r="7" spans="2:6">
      <c r="B7" s="168">
        <f>B6+1</f>
        <v>3</v>
      </c>
      <c r="D7" s="164" t="s">
        <v>1094</v>
      </c>
      <c r="E7" s="164">
        <v>0</v>
      </c>
      <c r="F7" s="164">
        <v>100</v>
      </c>
    </row>
    <row r="8" spans="2:6">
      <c r="B8" s="168">
        <f>B7+1</f>
        <v>4</v>
      </c>
      <c r="C8" s="162"/>
      <c r="D8" s="112" t="s">
        <v>1105</v>
      </c>
      <c r="E8" s="112">
        <f>E5-E7</f>
        <v>200</v>
      </c>
      <c r="F8" s="112">
        <f>F5-F7</f>
        <v>100</v>
      </c>
    </row>
    <row r="9" spans="2:6">
      <c r="B9" s="168"/>
    </row>
    <row r="10" spans="2:6">
      <c r="B10" s="168">
        <f>B8+1</f>
        <v>5</v>
      </c>
      <c r="C10" s="88" t="s">
        <v>1129</v>
      </c>
      <c r="D10" s="87" t="s">
        <v>1107</v>
      </c>
      <c r="E10" s="87">
        <v>190</v>
      </c>
      <c r="F10" s="87">
        <v>190</v>
      </c>
    </row>
    <row r="11" spans="2:6">
      <c r="B11" s="168">
        <f t="shared" ref="B11:B16" si="0">B10+1</f>
        <v>6</v>
      </c>
      <c r="C11" s="88" t="s">
        <v>1106</v>
      </c>
      <c r="D11" s="87" t="s">
        <v>1108</v>
      </c>
      <c r="E11" s="87">
        <v>155</v>
      </c>
      <c r="F11" s="87">
        <v>155</v>
      </c>
    </row>
    <row r="12" spans="2:6">
      <c r="B12" s="168">
        <f t="shared" si="0"/>
        <v>7</v>
      </c>
      <c r="D12" s="87" t="s">
        <v>1005</v>
      </c>
      <c r="E12" s="87">
        <f>E10-E11</f>
        <v>35</v>
      </c>
      <c r="F12" s="87">
        <f>F10-F11</f>
        <v>35</v>
      </c>
    </row>
    <row r="13" spans="2:6">
      <c r="B13" s="168">
        <f t="shared" si="0"/>
        <v>8</v>
      </c>
      <c r="D13" s="87" t="s">
        <v>1000</v>
      </c>
      <c r="E13" s="94">
        <f>E7*E42-E43*E6</f>
        <v>-0.4</v>
      </c>
      <c r="F13" s="94">
        <f>F7*F42-F43*F6</f>
        <v>5.6</v>
      </c>
    </row>
    <row r="14" spans="2:6">
      <c r="B14" s="168">
        <f t="shared" si="0"/>
        <v>9</v>
      </c>
      <c r="D14" s="87" t="s">
        <v>1002</v>
      </c>
      <c r="E14" s="87">
        <v>0.35</v>
      </c>
      <c r="F14" s="87">
        <v>0.35</v>
      </c>
    </row>
    <row r="15" spans="2:6">
      <c r="B15" s="168">
        <f t="shared" si="0"/>
        <v>10</v>
      </c>
      <c r="D15" s="87" t="s">
        <v>1109</v>
      </c>
      <c r="E15" s="87">
        <f>E14*(E12-E13)</f>
        <v>12.389999999999999</v>
      </c>
      <c r="F15" s="94">
        <f>F14*(F12-F13)</f>
        <v>10.29</v>
      </c>
    </row>
    <row r="16" spans="2:6">
      <c r="B16" s="168">
        <f t="shared" si="0"/>
        <v>11</v>
      </c>
      <c r="C16" s="162"/>
      <c r="D16" s="112" t="s">
        <v>1010</v>
      </c>
      <c r="E16" s="165">
        <f>E12-E13-E15</f>
        <v>23.009999999999998</v>
      </c>
      <c r="F16" s="165">
        <f>F12-F13-F15</f>
        <v>19.11</v>
      </c>
    </row>
    <row r="17" spans="2:6">
      <c r="B17" s="168"/>
    </row>
    <row r="18" spans="2:6">
      <c r="B18" s="168">
        <f>B16+1</f>
        <v>12</v>
      </c>
      <c r="C18" s="88" t="s">
        <v>1130</v>
      </c>
      <c r="D18" s="87" t="s">
        <v>1010</v>
      </c>
      <c r="E18" s="87">
        <f>E16</f>
        <v>23.009999999999998</v>
      </c>
      <c r="F18" s="87">
        <f>F16</f>
        <v>19.11</v>
      </c>
    </row>
    <row r="19" spans="2:6">
      <c r="B19" s="168">
        <f>B18+1</f>
        <v>13</v>
      </c>
      <c r="C19" s="88" t="s">
        <v>1110</v>
      </c>
      <c r="D19" s="87" t="s">
        <v>1111</v>
      </c>
      <c r="E19" s="87">
        <v>5</v>
      </c>
      <c r="F19" s="87">
        <v>5</v>
      </c>
    </row>
    <row r="20" spans="2:6">
      <c r="B20" s="168">
        <f>B19+1</f>
        <v>14</v>
      </c>
      <c r="D20" s="170" t="s">
        <v>1125</v>
      </c>
      <c r="E20" s="87">
        <v>2</v>
      </c>
      <c r="F20" s="87">
        <v>2</v>
      </c>
    </row>
    <row r="21" spans="2:6">
      <c r="B21" s="168">
        <f>B20+1</f>
        <v>15</v>
      </c>
      <c r="D21" s="87" t="s">
        <v>1126</v>
      </c>
      <c r="E21" s="87">
        <f>E18+E19-E20</f>
        <v>26.009999999999998</v>
      </c>
      <c r="F21" s="87">
        <f>F18+F19-F20</f>
        <v>22.11</v>
      </c>
    </row>
    <row r="22" spans="2:6">
      <c r="B22" s="168">
        <f>B21+1</f>
        <v>16</v>
      </c>
      <c r="C22" s="162"/>
      <c r="D22" s="169" t="s">
        <v>1124</v>
      </c>
      <c r="E22" s="112">
        <v>5</v>
      </c>
      <c r="F22" s="112">
        <v>5</v>
      </c>
    </row>
    <row r="23" spans="2:6">
      <c r="B23" s="168"/>
    </row>
    <row r="24" spans="2:6">
      <c r="B24" s="168">
        <f>B22+1</f>
        <v>17</v>
      </c>
      <c r="C24" s="88" t="s">
        <v>1131</v>
      </c>
      <c r="D24" s="87" t="s">
        <v>1003</v>
      </c>
      <c r="E24" s="87">
        <f>E21+E13*(1-E14)-E22</f>
        <v>20.749999999999996</v>
      </c>
      <c r="F24" s="87">
        <f>F21+F13*(1-F14)-F22</f>
        <v>20.75</v>
      </c>
    </row>
    <row r="25" spans="2:6">
      <c r="B25" s="168">
        <f>B24+1</f>
        <v>18</v>
      </c>
      <c r="C25" s="88" t="s">
        <v>1132</v>
      </c>
      <c r="D25" s="87" t="s">
        <v>1095</v>
      </c>
      <c r="E25" s="87">
        <f>E24/E40</f>
        <v>207.49999999999994</v>
      </c>
      <c r="F25" s="87">
        <f>F24/F40</f>
        <v>207.5</v>
      </c>
    </row>
    <row r="26" spans="2:6">
      <c r="B26" s="168">
        <f>B25+1</f>
        <v>19</v>
      </c>
      <c r="D26" s="87" t="s">
        <v>1122</v>
      </c>
      <c r="E26" s="87">
        <f>E25-E7+E6</f>
        <v>227.49999999999994</v>
      </c>
      <c r="F26" s="87">
        <f>F25-F7+F6</f>
        <v>127.5</v>
      </c>
    </row>
    <row r="27" spans="2:6">
      <c r="B27" s="168">
        <f>B26+1</f>
        <v>20</v>
      </c>
      <c r="D27" s="87" t="s">
        <v>1093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8">
        <f>B27+1</f>
        <v>21</v>
      </c>
      <c r="C28" s="162"/>
      <c r="D28" s="112" t="s">
        <v>1123</v>
      </c>
      <c r="E28" s="187">
        <f>E27/E41+E6</f>
        <v>227.49999999999994</v>
      </c>
      <c r="F28" s="187">
        <f>F27/F41+F6</f>
        <v>127.49999999999999</v>
      </c>
    </row>
    <row r="29" spans="2:6">
      <c r="B29" s="168"/>
    </row>
    <row r="30" spans="2:6">
      <c r="B30" s="168">
        <f>B28+1</f>
        <v>22</v>
      </c>
      <c r="C30" s="88" t="s">
        <v>1133</v>
      </c>
      <c r="D30" s="87" t="s">
        <v>1113</v>
      </c>
      <c r="E30" s="94">
        <f>E16/E10</f>
        <v>0.12110526315789473</v>
      </c>
      <c r="F30" s="94">
        <f>F16/F10</f>
        <v>0.10057894736842105</v>
      </c>
    </row>
    <row r="31" spans="2:6">
      <c r="B31" s="168">
        <f t="shared" ref="B31:B38" si="1">B30+1</f>
        <v>23</v>
      </c>
      <c r="C31" s="88" t="s">
        <v>1112</v>
      </c>
      <c r="D31" s="87" t="s">
        <v>1114</v>
      </c>
      <c r="E31" s="87">
        <f>E10/E5</f>
        <v>0.95</v>
      </c>
      <c r="F31" s="87">
        <f>F10/F5</f>
        <v>0.95</v>
      </c>
    </row>
    <row r="32" spans="2:6">
      <c r="B32" s="168">
        <f t="shared" si="1"/>
        <v>24</v>
      </c>
      <c r="D32" s="87" t="s">
        <v>1115</v>
      </c>
      <c r="E32" s="87">
        <f>E5/E8</f>
        <v>1</v>
      </c>
      <c r="F32" s="87">
        <f>F5/F8</f>
        <v>2</v>
      </c>
    </row>
    <row r="33" spans="2:6">
      <c r="B33" s="168">
        <f t="shared" si="1"/>
        <v>25</v>
      </c>
      <c r="D33" s="87" t="s">
        <v>1116</v>
      </c>
      <c r="E33" s="94">
        <f>E30*E31*E32</f>
        <v>0.11504999999999999</v>
      </c>
      <c r="F33" s="94">
        <f>F30*F31*F32</f>
        <v>0.19109999999999996</v>
      </c>
    </row>
    <row r="34" spans="2:6">
      <c r="B34" s="168">
        <f t="shared" si="1"/>
        <v>26</v>
      </c>
      <c r="D34" s="87" t="s">
        <v>1117</v>
      </c>
      <c r="E34" s="94">
        <f>E26/E18</f>
        <v>9.8870056497175121</v>
      </c>
      <c r="F34" s="94">
        <f>F26/F18</f>
        <v>6.6718995290423866</v>
      </c>
    </row>
    <row r="35" spans="2:6">
      <c r="B35" s="168">
        <f t="shared" si="1"/>
        <v>27</v>
      </c>
      <c r="D35" s="87" t="s">
        <v>1118</v>
      </c>
      <c r="E35" s="94">
        <f>E26/E8</f>
        <v>1.1374999999999997</v>
      </c>
      <c r="F35" s="94">
        <f>F26/F8</f>
        <v>1.2749999999999999</v>
      </c>
    </row>
    <row r="36" spans="2:6">
      <c r="B36" s="168">
        <f t="shared" si="1"/>
        <v>28</v>
      </c>
      <c r="D36" s="87" t="s">
        <v>1119</v>
      </c>
      <c r="E36" s="135">
        <f>E18/E5</f>
        <v>0.11504999999999999</v>
      </c>
      <c r="F36" s="135">
        <f>F18/F5</f>
        <v>9.5549999999999996E-2</v>
      </c>
    </row>
    <row r="37" spans="2:6">
      <c r="B37" s="168">
        <f t="shared" si="1"/>
        <v>29</v>
      </c>
      <c r="D37" s="87" t="s">
        <v>1135</v>
      </c>
      <c r="E37" s="135">
        <f>E27/E26</f>
        <v>9.1208791208791218E-2</v>
      </c>
      <c r="F37" s="135">
        <f>F27/F26</f>
        <v>0.13215686274509805</v>
      </c>
    </row>
    <row r="38" spans="2:6">
      <c r="B38" s="168">
        <f t="shared" si="1"/>
        <v>30</v>
      </c>
      <c r="C38" s="162"/>
      <c r="D38" s="112" t="s">
        <v>1077</v>
      </c>
      <c r="E38" s="165">
        <f>E25/(E12+E19)</f>
        <v>5.1874999999999982</v>
      </c>
      <c r="F38" s="165">
        <f>F25/(F12+F19)</f>
        <v>5.1875</v>
      </c>
    </row>
    <row r="39" spans="2:6">
      <c r="B39" s="168"/>
    </row>
    <row r="40" spans="2:6">
      <c r="B40" s="168">
        <f>B38+1</f>
        <v>31</v>
      </c>
      <c r="C40" s="88" t="s">
        <v>1134</v>
      </c>
      <c r="D40" s="87" t="s">
        <v>1171</v>
      </c>
      <c r="E40" s="94">
        <v>0.1</v>
      </c>
      <c r="F40" s="94">
        <v>0.1</v>
      </c>
    </row>
    <row r="41" spans="2:6">
      <c r="B41" s="168">
        <f>B40+1</f>
        <v>32</v>
      </c>
      <c r="C41" s="88" t="s">
        <v>1120</v>
      </c>
      <c r="D41" s="87" t="s">
        <v>1170</v>
      </c>
      <c r="E41" s="94">
        <v>0.1</v>
      </c>
      <c r="F41" s="94">
        <f>(F25)/(F26-F6)*0.1-(F7/(F26-F6))*0.06*(1-0.35)</f>
        <v>0.15674418604651166</v>
      </c>
    </row>
    <row r="42" spans="2:6">
      <c r="B42" s="168">
        <f>B41+1</f>
        <v>33</v>
      </c>
      <c r="D42" s="87" t="s">
        <v>1172</v>
      </c>
      <c r="E42" s="94">
        <v>0.06</v>
      </c>
      <c r="F42" s="94">
        <v>0.06</v>
      </c>
    </row>
    <row r="43" spans="2:6">
      <c r="B43" s="168">
        <v>34</v>
      </c>
      <c r="C43" s="162"/>
      <c r="D43" s="112" t="s">
        <v>1173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32FC-4B87-4C71-B611-404577AA343E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66</v>
      </c>
    </row>
    <row r="2" spans="1:15">
      <c r="A2">
        <v>5.0000000000000001E-3</v>
      </c>
      <c r="C2" t="s">
        <v>970</v>
      </c>
      <c r="E2" s="197" t="s">
        <v>175</v>
      </c>
      <c r="F2" s="197"/>
      <c r="G2" s="197"/>
      <c r="H2" s="197"/>
      <c r="I2" s="197"/>
    </row>
    <row r="3" spans="1:15">
      <c r="A3" t="s">
        <v>108</v>
      </c>
      <c r="B3" t="s">
        <v>1202</v>
      </c>
      <c r="C3" t="s">
        <v>1239</v>
      </c>
      <c r="E3" t="s">
        <v>1202</v>
      </c>
      <c r="F3" t="s">
        <v>1239</v>
      </c>
      <c r="G3" t="s">
        <v>1239</v>
      </c>
      <c r="H3" t="s">
        <v>1239</v>
      </c>
      <c r="I3" t="s">
        <v>1239</v>
      </c>
    </row>
    <row r="4" spans="1:15">
      <c r="F4" t="s">
        <v>1240</v>
      </c>
      <c r="G4" t="s">
        <v>1244</v>
      </c>
      <c r="H4" t="s">
        <v>1245</v>
      </c>
      <c r="I4" t="s">
        <v>1246</v>
      </c>
      <c r="L4" t="s">
        <v>276</v>
      </c>
    </row>
    <row r="5" spans="1:15">
      <c r="A5" t="s">
        <v>1203</v>
      </c>
      <c r="B5">
        <v>9.4903467723052026E-2</v>
      </c>
      <c r="C5">
        <v>0.12576632861455439</v>
      </c>
      <c r="E5">
        <f t="shared" ref="E5:E16" si="0">B5-$A$2</f>
        <v>8.9903467723052022E-2</v>
      </c>
      <c r="F5">
        <f t="shared" ref="F5:F16" si="1">C5-$A$2</f>
        <v>0.12076632861455439</v>
      </c>
      <c r="G5">
        <f>1.2*C5+(1-1.2)*$A$2-$A$2</f>
        <v>0.14491959433746526</v>
      </c>
      <c r="H5">
        <f>1.6*C5+(1-1.6)*$A$2-$A$2</f>
        <v>0.19322612578328702</v>
      </c>
      <c r="I5">
        <f>2*C5+(1-2)*$A$2-$A$2</f>
        <v>0.24153265722910877</v>
      </c>
      <c r="L5" t="s">
        <v>1248</v>
      </c>
      <c r="M5" t="s">
        <v>1241</v>
      </c>
      <c r="N5" t="s">
        <v>1242</v>
      </c>
      <c r="O5" t="s">
        <v>1243</v>
      </c>
    </row>
    <row r="6" spans="1:15">
      <c r="A6" t="s">
        <v>1204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ref="G6:G40" si="2">1.2*C6+(1-1.2)*$A$2-$A$2</f>
        <v>0.10224216027074727</v>
      </c>
      <c r="H6">
        <f t="shared" ref="H6:H40" si="3">1.6*C6+(1-1.6)*$A$2-$A$2</f>
        <v>0.13632288036099635</v>
      </c>
      <c r="I6">
        <f t="shared" ref="I6:I40" si="4">2*C6+(1-2)*$A$2-$A$2</f>
        <v>0.17040360045124545</v>
      </c>
      <c r="L6">
        <f>INTERCEPT(F5:F40,$E$5:$E$40)</f>
        <v>1.4097192926766051E-2</v>
      </c>
      <c r="M6">
        <f>INTERCEPT(G5:G40,$E$5:$E$40)</f>
        <v>1.6916631512119269E-2</v>
      </c>
      <c r="N6">
        <f>INTERCEPT(H5:H40,$E$5:$E$40)</f>
        <v>2.2555508682825666E-2</v>
      </c>
      <c r="O6">
        <f>INTERCEPT(I5:I40,$E$5:$E$40)</f>
        <v>2.8194385853532102E-2</v>
      </c>
    </row>
    <row r="7" spans="1:15">
      <c r="A7" t="s">
        <v>1205</v>
      </c>
      <c r="B7">
        <v>-1.0932213828928073E-2</v>
      </c>
      <c r="C7">
        <v>-6.2743964059336615E-3</v>
      </c>
      <c r="E7">
        <f t="shared" si="0"/>
        <v>-1.5932213828928073E-2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-2.2548792811867325E-2</v>
      </c>
      <c r="K7" t="s">
        <v>1247</v>
      </c>
      <c r="L7">
        <v>1</v>
      </c>
      <c r="M7">
        <v>1.2</v>
      </c>
      <c r="N7">
        <v>1.6</v>
      </c>
      <c r="O7">
        <v>2</v>
      </c>
    </row>
    <row r="8" spans="1:15">
      <c r="A8" t="s">
        <v>1206</v>
      </c>
      <c r="B8">
        <v>0.14445969671010972</v>
      </c>
      <c r="C8">
        <v>0.15350684925069802</v>
      </c>
      <c r="E8">
        <f t="shared" si="0"/>
        <v>0.13945969671010972</v>
      </c>
      <c r="F8">
        <f t="shared" si="1"/>
        <v>0.14850684925069801</v>
      </c>
      <c r="G8">
        <f t="shared" si="2"/>
        <v>0.17820821910083762</v>
      </c>
      <c r="H8">
        <f t="shared" si="3"/>
        <v>0.23761095880111682</v>
      </c>
      <c r="I8">
        <f t="shared" si="4"/>
        <v>0.29701369850139603</v>
      </c>
      <c r="K8" t="s">
        <v>1255</v>
      </c>
      <c r="L8">
        <f>L7*$L$6</f>
        <v>1.4097192926766051E-2</v>
      </c>
      <c r="M8">
        <f>M7*$L$6</f>
        <v>1.6916631512119262E-2</v>
      </c>
      <c r="N8">
        <f>N7*$L$6</f>
        <v>2.2555508682825683E-2</v>
      </c>
      <c r="O8">
        <f>O7*$L$6</f>
        <v>2.8194385853532102E-2</v>
      </c>
    </row>
    <row r="9" spans="1:15">
      <c r="A9" t="s">
        <v>1207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1209</v>
      </c>
      <c r="B11">
        <v>-0.10819656720035711</v>
      </c>
      <c r="C11">
        <v>-8.9811041385110021E-2</v>
      </c>
      <c r="E11">
        <f t="shared" si="0"/>
        <v>-0.11319656720035712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1210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1211</v>
      </c>
      <c r="B13">
        <v>6.6599943945766429E-3</v>
      </c>
      <c r="C13">
        <v>1.3639046932803468E-2</v>
      </c>
      <c r="E13">
        <f t="shared" si="0"/>
        <v>1.6599943945766428E-3</v>
      </c>
      <c r="F13">
        <f t="shared" si="1"/>
        <v>8.6390469328034673E-3</v>
      </c>
      <c r="G13">
        <f t="shared" si="2"/>
        <v>1.0366856319364164E-2</v>
      </c>
      <c r="H13">
        <f t="shared" si="3"/>
        <v>1.3822475092485551E-2</v>
      </c>
      <c r="I13">
        <f t="shared" si="4"/>
        <v>1.7278093865606935E-2</v>
      </c>
    </row>
    <row r="14" spans="1:15">
      <c r="A14" t="s">
        <v>1212</v>
      </c>
      <c r="B14">
        <v>-3.5069862153468426E-2</v>
      </c>
      <c r="C14">
        <v>-3.4505225635803077E-2</v>
      </c>
      <c r="E14">
        <f t="shared" si="0"/>
        <v>-4.0069862153468423E-2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1213</v>
      </c>
      <c r="B15">
        <v>0.19831487977877263</v>
      </c>
      <c r="C15">
        <v>0.20417277546075641</v>
      </c>
      <c r="E15">
        <f t="shared" si="0"/>
        <v>0.19331487977877262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1214</v>
      </c>
      <c r="B16">
        <v>7.6913116825162428E-2</v>
      </c>
      <c r="C16">
        <v>0.10982616067340131</v>
      </c>
      <c r="E16">
        <f t="shared" si="0"/>
        <v>7.1913116825162424E-2</v>
      </c>
      <c r="F16">
        <f t="shared" si="1"/>
        <v>0.10482616067340131</v>
      </c>
      <c r="G16">
        <f t="shared" si="2"/>
        <v>0.12579139280808158</v>
      </c>
      <c r="H16">
        <f t="shared" si="3"/>
        <v>0.16772185707744211</v>
      </c>
      <c r="I16">
        <f t="shared" si="4"/>
        <v>0.20965232134680262</v>
      </c>
    </row>
    <row r="17" spans="1:9">
      <c r="A17" t="s">
        <v>1215</v>
      </c>
      <c r="B17">
        <v>0.10281125130655711</v>
      </c>
      <c r="C17">
        <v>0.11110879831394414</v>
      </c>
      <c r="E17">
        <f t="shared" ref="E17:E40" si="5">B17-$A$2</f>
        <v>9.7811251306557101E-2</v>
      </c>
      <c r="F17">
        <f t="shared" ref="F17:F40" si="6">C17-$A$2</f>
        <v>0.10610879831394414</v>
      </c>
      <c r="G17">
        <f t="shared" si="2"/>
        <v>0.12733055797673296</v>
      </c>
      <c r="H17">
        <f t="shared" si="3"/>
        <v>0.16977407730231064</v>
      </c>
      <c r="I17">
        <f t="shared" si="4"/>
        <v>0.21221759662788828</v>
      </c>
    </row>
    <row r="18" spans="1:9">
      <c r="A18" t="s">
        <v>1216</v>
      </c>
      <c r="B18">
        <v>-2.5229857076046754E-2</v>
      </c>
      <c r="C18">
        <v>-2.021681375990738E-2</v>
      </c>
      <c r="E18">
        <f t="shared" si="5"/>
        <v>-3.0229857076046755E-2</v>
      </c>
      <c r="F18">
        <f t="shared" si="6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1217</v>
      </c>
      <c r="B19">
        <v>2.9263723061158091E-2</v>
      </c>
      <c r="C19">
        <v>4.6080961687403034E-2</v>
      </c>
      <c r="E19">
        <f t="shared" si="5"/>
        <v>2.426372306115809E-2</v>
      </c>
      <c r="F19">
        <f t="shared" si="6"/>
        <v>4.1080961687403036E-2</v>
      </c>
      <c r="G19">
        <f t="shared" si="2"/>
        <v>4.929715402488364E-2</v>
      </c>
      <c r="H19">
        <f t="shared" si="3"/>
        <v>6.5729538699844853E-2</v>
      </c>
      <c r="I19">
        <f t="shared" si="4"/>
        <v>8.2161923374806059E-2</v>
      </c>
    </row>
    <row r="20" spans="1:9">
      <c r="A20" t="s">
        <v>1218</v>
      </c>
      <c r="B20">
        <v>1.3779689450311708E-2</v>
      </c>
      <c r="C20">
        <v>1.4219588769628901E-2</v>
      </c>
      <c r="E20">
        <f t="shared" si="5"/>
        <v>8.7796894503117083E-3</v>
      </c>
      <c r="F20">
        <f t="shared" si="6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1219</v>
      </c>
      <c r="B21">
        <v>9.2260112321819188E-2</v>
      </c>
      <c r="C21">
        <v>0.10490886388142827</v>
      </c>
      <c r="E21">
        <f t="shared" si="5"/>
        <v>8.7260112321819183E-2</v>
      </c>
      <c r="F21">
        <f t="shared" si="6"/>
        <v>9.9908863881428264E-2</v>
      </c>
      <c r="G21">
        <f t="shared" si="2"/>
        <v>0.11989063665771391</v>
      </c>
      <c r="H21">
        <f t="shared" si="3"/>
        <v>0.15985418221028524</v>
      </c>
      <c r="I21">
        <f t="shared" si="4"/>
        <v>0.19981772776285653</v>
      </c>
    </row>
    <row r="22" spans="1:9">
      <c r="A22" t="s">
        <v>1220</v>
      </c>
      <c r="B22">
        <v>-1.2883693873154701E-2</v>
      </c>
      <c r="C22">
        <v>-5.3704268844740038E-3</v>
      </c>
      <c r="E22">
        <f t="shared" si="5"/>
        <v>-1.78836938731547E-2</v>
      </c>
      <c r="F22">
        <f t="shared" si="6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1221</v>
      </c>
      <c r="B23">
        <v>-7.5217175183061064E-2</v>
      </c>
      <c r="C23">
        <v>-5.1677793003909775E-2</v>
      </c>
      <c r="E23">
        <f t="shared" si="5"/>
        <v>-8.0217175183061068E-2</v>
      </c>
      <c r="F23">
        <f t="shared" si="6"/>
        <v>-5.6677793003909772E-2</v>
      </c>
      <c r="G23">
        <f t="shared" si="2"/>
        <v>-6.8013351604691727E-2</v>
      </c>
      <c r="H23">
        <f t="shared" si="3"/>
        <v>-9.068446880625565E-2</v>
      </c>
      <c r="I23">
        <f t="shared" si="4"/>
        <v>-0.11335558600781956</v>
      </c>
    </row>
    <row r="24" spans="1:9">
      <c r="A24" t="s">
        <v>1222</v>
      </c>
      <c r="B24">
        <v>0.18339698388241235</v>
      </c>
      <c r="C24">
        <v>0.21476134015247228</v>
      </c>
      <c r="E24">
        <f t="shared" si="5"/>
        <v>0.17839698388241235</v>
      </c>
      <c r="F24">
        <f t="shared" si="6"/>
        <v>0.20976134015247228</v>
      </c>
      <c r="G24">
        <f t="shared" si="2"/>
        <v>0.25171360818296673</v>
      </c>
      <c r="H24">
        <f t="shared" si="3"/>
        <v>0.33561814424395564</v>
      </c>
      <c r="I24">
        <f t="shared" si="4"/>
        <v>0.41952268030494455</v>
      </c>
    </row>
    <row r="25" spans="1:9">
      <c r="A25" t="s">
        <v>1223</v>
      </c>
      <c r="B25">
        <v>-2.6260826163925229E-2</v>
      </c>
      <c r="C25">
        <v>-1.2877759950788457E-2</v>
      </c>
      <c r="E25">
        <f t="shared" si="5"/>
        <v>-3.1260826163925226E-2</v>
      </c>
      <c r="F25">
        <f t="shared" si="6"/>
        <v>-1.7877759950788458E-2</v>
      </c>
      <c r="G25">
        <f t="shared" si="2"/>
        <v>-2.145331194094615E-2</v>
      </c>
      <c r="H25">
        <f t="shared" si="3"/>
        <v>-2.8604415921261533E-2</v>
      </c>
      <c r="I25">
        <f t="shared" si="4"/>
        <v>-3.5755519901576917E-2</v>
      </c>
    </row>
    <row r="26" spans="1:9">
      <c r="A26" t="s">
        <v>1224</v>
      </c>
      <c r="B26">
        <v>-3.8920855988399131E-2</v>
      </c>
      <c r="C26">
        <v>-3.950459295592737E-2</v>
      </c>
      <c r="E26">
        <f t="shared" si="5"/>
        <v>-4.3920855988399128E-2</v>
      </c>
      <c r="F26">
        <f t="shared" si="6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1225</v>
      </c>
      <c r="B27">
        <v>-6.6272294791124314E-2</v>
      </c>
      <c r="C27">
        <v>-3.9921823650365715E-2</v>
      </c>
      <c r="E27">
        <f t="shared" si="5"/>
        <v>-7.1272294791124319E-2</v>
      </c>
      <c r="F27">
        <f t="shared" si="6"/>
        <v>-4.4921823650365712E-2</v>
      </c>
      <c r="G27">
        <f t="shared" si="2"/>
        <v>-5.3906188380438855E-2</v>
      </c>
      <c r="H27">
        <f t="shared" si="3"/>
        <v>-7.1874917840585154E-2</v>
      </c>
      <c r="I27">
        <f t="shared" si="4"/>
        <v>-8.9843647300731438E-2</v>
      </c>
    </row>
    <row r="28" spans="1:9">
      <c r="A28" t="s">
        <v>1226</v>
      </c>
      <c r="B28">
        <v>8.428643584717066E-2</v>
      </c>
      <c r="C28">
        <v>8.5166894400026658E-2</v>
      </c>
      <c r="E28">
        <f t="shared" si="5"/>
        <v>7.9286435847170655E-2</v>
      </c>
      <c r="F28">
        <f t="shared" si="6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1227</v>
      </c>
      <c r="B29">
        <v>-2.043519427592401E-2</v>
      </c>
      <c r="C29">
        <v>1.0223712428705761E-2</v>
      </c>
      <c r="E29">
        <f t="shared" si="5"/>
        <v>-2.5435194275924011E-2</v>
      </c>
      <c r="F29">
        <f t="shared" si="6"/>
        <v>5.2237124287057611E-3</v>
      </c>
      <c r="G29">
        <f t="shared" si="2"/>
        <v>6.2684549144469146E-3</v>
      </c>
      <c r="H29">
        <f t="shared" si="3"/>
        <v>8.3579398859292171E-3</v>
      </c>
      <c r="I29">
        <f t="shared" si="4"/>
        <v>1.0447424857411521E-2</v>
      </c>
    </row>
    <row r="30" spans="1:9">
      <c r="A30" t="s">
        <v>1228</v>
      </c>
      <c r="B30">
        <v>0.16244686437654313</v>
      </c>
      <c r="C30">
        <v>0.16735224625736012</v>
      </c>
      <c r="E30">
        <f t="shared" si="5"/>
        <v>0.15744686437654312</v>
      </c>
      <c r="F30">
        <f t="shared" si="6"/>
        <v>0.16235224625736011</v>
      </c>
      <c r="G30">
        <f t="shared" si="2"/>
        <v>0.19482269550883213</v>
      </c>
      <c r="H30">
        <f t="shared" si="3"/>
        <v>0.25976359401177618</v>
      </c>
      <c r="I30">
        <f t="shared" si="4"/>
        <v>0.32470449251472022</v>
      </c>
    </row>
    <row r="31" spans="1:9">
      <c r="A31" t="s">
        <v>1229</v>
      </c>
      <c r="B31">
        <v>-1.3488985334552129E-2</v>
      </c>
      <c r="C31">
        <v>1.1656678174767872E-2</v>
      </c>
      <c r="E31">
        <f t="shared" si="5"/>
        <v>-1.8488985334552129E-2</v>
      </c>
      <c r="F31">
        <f t="shared" si="6"/>
        <v>6.6566781747678721E-3</v>
      </c>
      <c r="G31">
        <f t="shared" si="2"/>
        <v>7.9880138097214483E-3</v>
      </c>
      <c r="H31">
        <f t="shared" si="3"/>
        <v>1.0650685079628595E-2</v>
      </c>
      <c r="I31">
        <f t="shared" si="4"/>
        <v>1.3313356349535743E-2</v>
      </c>
    </row>
    <row r="32" spans="1:9">
      <c r="A32" t="s">
        <v>1230</v>
      </c>
      <c r="B32">
        <v>0.10821669664233924</v>
      </c>
      <c r="C32">
        <v>0.10758639354608023</v>
      </c>
      <c r="E32">
        <f t="shared" si="5"/>
        <v>0.10321669664233923</v>
      </c>
      <c r="F32">
        <f t="shared" si="6"/>
        <v>0.10258639354608022</v>
      </c>
      <c r="G32">
        <f t="shared" si="2"/>
        <v>0.12310367225529625</v>
      </c>
      <c r="H32">
        <f t="shared" si="3"/>
        <v>0.16413822967372838</v>
      </c>
      <c r="I32">
        <f t="shared" si="4"/>
        <v>0.20517278709216044</v>
      </c>
    </row>
    <row r="33" spans="1:9">
      <c r="A33" t="s">
        <v>1231</v>
      </c>
      <c r="B33">
        <v>4.2719341561314643E-3</v>
      </c>
      <c r="C33">
        <v>1.2066757967113515E-2</v>
      </c>
      <c r="E33">
        <f t="shared" si="5"/>
        <v>-7.2806584386853578E-4</v>
      </c>
      <c r="F33">
        <f t="shared" si="6"/>
        <v>7.066757967113515E-3</v>
      </c>
      <c r="G33">
        <f t="shared" si="2"/>
        <v>8.4801095605362177E-3</v>
      </c>
      <c r="H33">
        <f t="shared" si="3"/>
        <v>1.1306812747381625E-2</v>
      </c>
      <c r="I33">
        <f t="shared" si="4"/>
        <v>1.4133515934227028E-2</v>
      </c>
    </row>
    <row r="34" spans="1:9">
      <c r="A34" t="s">
        <v>1232</v>
      </c>
      <c r="B34">
        <v>7.1159903452789885E-2</v>
      </c>
      <c r="C34">
        <v>9.372380708955462E-2</v>
      </c>
      <c r="E34">
        <f t="shared" si="5"/>
        <v>6.6159903452789881E-2</v>
      </c>
      <c r="F34">
        <f t="shared" si="6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1233</v>
      </c>
      <c r="B35">
        <v>2.2116811376472471E-2</v>
      </c>
      <c r="C35">
        <v>4.8262805370904972E-2</v>
      </c>
      <c r="E35">
        <f t="shared" si="5"/>
        <v>1.711681137647247E-2</v>
      </c>
      <c r="F35">
        <f t="shared" si="6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1234</v>
      </c>
      <c r="B36">
        <v>-4.3318649406719492E-2</v>
      </c>
      <c r="C36">
        <v>-3.6776790971634915E-2</v>
      </c>
      <c r="E36">
        <f t="shared" si="5"/>
        <v>-4.831864940671949E-2</v>
      </c>
      <c r="F36">
        <f t="shared" si="6"/>
        <v>-4.1776790971634913E-2</v>
      </c>
      <c r="G36">
        <f t="shared" si="2"/>
        <v>-5.0132149165961898E-2</v>
      </c>
      <c r="H36">
        <f t="shared" si="3"/>
        <v>-6.6842865554615868E-2</v>
      </c>
      <c r="I36">
        <f t="shared" si="4"/>
        <v>-8.3553581943269839E-2</v>
      </c>
    </row>
    <row r="37" spans="1:9">
      <c r="A37" t="s">
        <v>1235</v>
      </c>
      <c r="B37">
        <v>-8.0452476797509026E-2</v>
      </c>
      <c r="C37">
        <v>-6.1436898527608738E-2</v>
      </c>
      <c r="E37">
        <f t="shared" si="5"/>
        <v>-8.545247679750903E-2</v>
      </c>
      <c r="F37">
        <f t="shared" si="6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1236</v>
      </c>
      <c r="B38">
        <v>1.6641971594945064E-2</v>
      </c>
      <c r="C38">
        <v>3.43335984274745E-2</v>
      </c>
      <c r="E38">
        <f t="shared" si="5"/>
        <v>1.1641971594945063E-2</v>
      </c>
      <c r="F38">
        <f t="shared" si="6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1237</v>
      </c>
      <c r="B39">
        <v>6.5440273172280294E-2</v>
      </c>
      <c r="C39">
        <v>7.4170216698257727E-2</v>
      </c>
      <c r="E39">
        <f t="shared" si="5"/>
        <v>6.0440273172280297E-2</v>
      </c>
      <c r="F39">
        <f t="shared" si="6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1238</v>
      </c>
      <c r="B40">
        <v>2.0056146493298004E-2</v>
      </c>
      <c r="C40">
        <v>4.4858384803228547E-2</v>
      </c>
      <c r="E40">
        <f t="shared" si="5"/>
        <v>1.5056146493298003E-2</v>
      </c>
      <c r="F40">
        <f t="shared" si="6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CD23A-AEC3-4D43-818D-13C9A210E88A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7" t="s">
        <v>79</v>
      </c>
      <c r="C1" s="197"/>
      <c r="D1" s="197"/>
      <c r="E1" s="197"/>
      <c r="F1" s="197"/>
    </row>
    <row r="3" spans="1:9">
      <c r="B3" s="4" t="s">
        <v>135</v>
      </c>
      <c r="C3" s="4" t="s">
        <v>136</v>
      </c>
      <c r="D3" s="4" t="s">
        <v>137</v>
      </c>
      <c r="E3" s="4" t="s">
        <v>1249</v>
      </c>
      <c r="F3" s="4" t="s">
        <v>1250</v>
      </c>
    </row>
    <row r="4" spans="1:9">
      <c r="A4" s="4" t="s">
        <v>135</v>
      </c>
      <c r="B4">
        <v>1.9597277323438922E-3</v>
      </c>
      <c r="C4">
        <v>3.76278041067037E-4</v>
      </c>
      <c r="D4">
        <v>-2.6545484312221466E-4</v>
      </c>
      <c r="E4">
        <v>-1.898856953880245E-4</v>
      </c>
      <c r="F4">
        <v>-3.2632455824222205E-4</v>
      </c>
    </row>
    <row r="5" spans="1:9">
      <c r="A5" s="4" t="s">
        <v>136</v>
      </c>
      <c r="B5">
        <v>3.76278041067037E-4</v>
      </c>
      <c r="C5">
        <v>9.1815403115640278E-4</v>
      </c>
      <c r="D5">
        <v>-1.6892280845934704E-5</v>
      </c>
      <c r="E5">
        <v>-2.3429380323617546E-4</v>
      </c>
      <c r="F5">
        <v>-5.3346410134658007E-5</v>
      </c>
    </row>
    <row r="6" spans="1:9">
      <c r="A6" s="4" t="s">
        <v>137</v>
      </c>
      <c r="B6">
        <v>-2.6545484312221466E-4</v>
      </c>
      <c r="C6">
        <v>-1.6892280845934704E-5</v>
      </c>
      <c r="D6">
        <v>8.4011019888231419E-4</v>
      </c>
      <c r="E6">
        <v>5.6929560048213842E-5</v>
      </c>
      <c r="F6">
        <v>3.8468109321352923E-4</v>
      </c>
    </row>
    <row r="7" spans="1:9">
      <c r="A7" s="4" t="s">
        <v>1249</v>
      </c>
      <c r="B7">
        <v>-1.898856953880245E-4</v>
      </c>
      <c r="C7">
        <v>-2.3429380323617546E-4</v>
      </c>
      <c r="D7">
        <v>5.6929560048213842E-5</v>
      </c>
      <c r="E7">
        <v>4.8983055537292724E-4</v>
      </c>
      <c r="F7">
        <v>-1.1334378089463524E-5</v>
      </c>
    </row>
    <row r="8" spans="1:9">
      <c r="A8" s="4" t="s">
        <v>1250</v>
      </c>
      <c r="B8">
        <v>-3.2632455824222205E-4</v>
      </c>
      <c r="C8">
        <v>-5.3346410134658007E-5</v>
      </c>
      <c r="D8">
        <v>3.8468109321352923E-4</v>
      </c>
      <c r="E8">
        <v>-1.1334378089463524E-5</v>
      </c>
      <c r="F8">
        <v>3.9212918320468212E-4</v>
      </c>
    </row>
    <row r="10" spans="1:9">
      <c r="B10" s="4" t="s">
        <v>135</v>
      </c>
      <c r="C10" s="4" t="s">
        <v>136</v>
      </c>
      <c r="D10" s="4" t="s">
        <v>137</v>
      </c>
      <c r="E10" s="4" t="s">
        <v>1249</v>
      </c>
      <c r="F10" s="4" t="s">
        <v>1250</v>
      </c>
      <c r="G10" s="4" t="s">
        <v>93</v>
      </c>
      <c r="H10" s="4"/>
    </row>
    <row r="11" spans="1:9">
      <c r="A11" s="12" t="s">
        <v>1251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1252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1253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964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7" t="s">
        <v>1254</v>
      </c>
      <c r="C16" s="197"/>
      <c r="D16" s="197"/>
      <c r="E16" s="197"/>
      <c r="F16" s="197"/>
      <c r="H16" t="s">
        <v>1201</v>
      </c>
      <c r="I16" t="s">
        <v>118</v>
      </c>
    </row>
    <row r="17" spans="1:9">
      <c r="A17" s="12" t="s">
        <v>1251</v>
      </c>
      <c r="B17">
        <f>B11-B$14</f>
        <v>-9.9999999999999811E-3</v>
      </c>
      <c r="C17">
        <f>C11-C$14</f>
        <v>0.10999999999999999</v>
      </c>
      <c r="D17">
        <f>D11-D$14</f>
        <v>-0.12</v>
      </c>
      <c r="E17">
        <f>E11-E$14</f>
        <v>-0.18</v>
      </c>
      <c r="F17">
        <f>F11-F$14</f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1252</v>
      </c>
      <c r="B18">
        <f>B12-B$14</f>
        <v>0.19000000000000003</v>
      </c>
      <c r="C18">
        <f t="shared" ref="C18:F18" si="0">C12-C$14</f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1253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1256</v>
      </c>
      <c r="I21">
        <f>3*I18</f>
        <v>0.12895261676143327</v>
      </c>
    </row>
  </sheetData>
  <mergeCells count="2">
    <mergeCell ref="B1:F1"/>
    <mergeCell ref="B16:F1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372DF-EEE4-4EDA-8BBA-0F315ACECBD8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7" t="s">
        <v>79</v>
      </c>
      <c r="C1" s="197"/>
      <c r="D1" s="197"/>
      <c r="E1" s="197"/>
      <c r="F1" s="197"/>
    </row>
    <row r="2" spans="1:9">
      <c r="B2" s="4" t="s">
        <v>135</v>
      </c>
      <c r="C2" s="4" t="s">
        <v>136</v>
      </c>
      <c r="D2" s="4" t="s">
        <v>137</v>
      </c>
      <c r="E2" s="4" t="s">
        <v>1249</v>
      </c>
      <c r="F2" s="4" t="s">
        <v>1250</v>
      </c>
    </row>
    <row r="3" spans="1:9">
      <c r="A3" s="4" t="s">
        <v>135</v>
      </c>
      <c r="B3">
        <v>1.9597277323438922E-3</v>
      </c>
      <c r="C3">
        <v>3.76278041067037E-4</v>
      </c>
      <c r="D3">
        <v>-2.6545484312221466E-4</v>
      </c>
      <c r="E3">
        <v>-1.898856953880245E-4</v>
      </c>
      <c r="F3">
        <v>-3.2632455824222205E-4</v>
      </c>
    </row>
    <row r="4" spans="1:9">
      <c r="A4" s="4" t="s">
        <v>136</v>
      </c>
      <c r="B4">
        <v>3.76278041067037E-4</v>
      </c>
      <c r="C4">
        <v>9.1815403115640278E-4</v>
      </c>
      <c r="D4">
        <v>-1.6892280845934704E-5</v>
      </c>
      <c r="E4">
        <v>-2.3429380323617546E-4</v>
      </c>
      <c r="F4">
        <v>-5.3346410134658007E-5</v>
      </c>
    </row>
    <row r="5" spans="1:9">
      <c r="A5" s="4" t="s">
        <v>137</v>
      </c>
      <c r="B5">
        <v>-2.6545484312221466E-4</v>
      </c>
      <c r="C5">
        <v>-1.6892280845934704E-5</v>
      </c>
      <c r="D5">
        <v>8.4011019888231419E-4</v>
      </c>
      <c r="E5">
        <v>5.6929560048213842E-5</v>
      </c>
      <c r="F5">
        <v>3.8468109321352923E-4</v>
      </c>
    </row>
    <row r="6" spans="1:9">
      <c r="A6" s="4" t="s">
        <v>1249</v>
      </c>
      <c r="B6">
        <v>-1.898856953880245E-4</v>
      </c>
      <c r="C6">
        <v>-2.3429380323617546E-4</v>
      </c>
      <c r="D6">
        <v>5.6929560048213842E-5</v>
      </c>
      <c r="E6">
        <v>4.8983055537292724E-4</v>
      </c>
      <c r="F6">
        <v>-1.1334378089463524E-5</v>
      </c>
    </row>
    <row r="7" spans="1:9">
      <c r="A7" s="4" t="s">
        <v>1250</v>
      </c>
      <c r="B7">
        <v>-3.2632455824222205E-4</v>
      </c>
      <c r="C7">
        <v>-5.3346410134658007E-5</v>
      </c>
      <c r="D7">
        <v>3.8468109321352923E-4</v>
      </c>
      <c r="E7">
        <v>-1.1334378089463524E-5</v>
      </c>
      <c r="F7">
        <v>3.9212918320468212E-4</v>
      </c>
    </row>
    <row r="9" spans="1:9">
      <c r="A9" s="4" t="s">
        <v>1272</v>
      </c>
      <c r="G9" t="s">
        <v>1273</v>
      </c>
      <c r="H9" t="s">
        <v>1274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D3E3-A3F0-469C-913B-E0FC8A8DE388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7" t="s">
        <v>79</v>
      </c>
      <c r="C1" s="197"/>
      <c r="D1" s="197"/>
      <c r="E1" s="197"/>
      <c r="F1" s="197"/>
    </row>
    <row r="2" spans="1:10">
      <c r="B2" s="4" t="s">
        <v>135</v>
      </c>
      <c r="C2" s="4" t="s">
        <v>136</v>
      </c>
      <c r="D2" s="4" t="s">
        <v>137</v>
      </c>
      <c r="E2" s="4" t="s">
        <v>1249</v>
      </c>
      <c r="F2" s="4" t="s">
        <v>1250</v>
      </c>
    </row>
    <row r="3" spans="1:10">
      <c r="A3" s="4" t="s">
        <v>135</v>
      </c>
      <c r="B3">
        <v>1.9597277323438922E-3</v>
      </c>
      <c r="C3">
        <v>3.76278041067037E-4</v>
      </c>
      <c r="D3">
        <v>-2.6545484312221466E-4</v>
      </c>
      <c r="E3">
        <v>-1.898856953880245E-4</v>
      </c>
      <c r="F3">
        <v>-3.2632455824222205E-4</v>
      </c>
    </row>
    <row r="4" spans="1:10">
      <c r="A4" s="4" t="s">
        <v>136</v>
      </c>
      <c r="B4">
        <v>3.76278041067037E-4</v>
      </c>
      <c r="C4">
        <v>9.1815403115640278E-4</v>
      </c>
      <c r="D4">
        <v>-1.6892280845934704E-5</v>
      </c>
      <c r="E4">
        <v>-2.3429380323617546E-4</v>
      </c>
      <c r="F4">
        <v>-5.3346410134658007E-5</v>
      </c>
    </row>
    <row r="5" spans="1:10">
      <c r="A5" s="4" t="s">
        <v>137</v>
      </c>
      <c r="B5">
        <v>-2.6545484312221466E-4</v>
      </c>
      <c r="C5">
        <v>-1.6892280845934704E-5</v>
      </c>
      <c r="D5">
        <v>8.4011019888231419E-4</v>
      </c>
      <c r="E5">
        <v>5.6929560048213842E-5</v>
      </c>
      <c r="F5">
        <v>3.8468109321352923E-4</v>
      </c>
    </row>
    <row r="6" spans="1:10">
      <c r="A6" s="4" t="s">
        <v>1249</v>
      </c>
      <c r="B6">
        <v>-1.898856953880245E-4</v>
      </c>
      <c r="C6">
        <v>-2.3429380323617546E-4</v>
      </c>
      <c r="D6">
        <v>5.6929560048213842E-5</v>
      </c>
      <c r="E6">
        <v>4.8983055537292724E-4</v>
      </c>
      <c r="F6">
        <v>-1.1334378089463524E-5</v>
      </c>
    </row>
    <row r="7" spans="1:10">
      <c r="A7" s="4" t="s">
        <v>1250</v>
      </c>
      <c r="B7">
        <v>-3.2632455824222205E-4</v>
      </c>
      <c r="C7">
        <v>-5.3346410134658007E-5</v>
      </c>
      <c r="D7">
        <v>3.8468109321352923E-4</v>
      </c>
      <c r="E7">
        <v>-1.1334378089463524E-5</v>
      </c>
      <c r="F7">
        <v>3.9212918320468212E-4</v>
      </c>
    </row>
    <row r="10" spans="1:10">
      <c r="B10" t="s">
        <v>135</v>
      </c>
      <c r="C10" t="s">
        <v>137</v>
      </c>
      <c r="D10" t="s">
        <v>1249</v>
      </c>
      <c r="E10" t="s">
        <v>1250</v>
      </c>
      <c r="F10" t="s">
        <v>51</v>
      </c>
    </row>
    <row r="11" spans="1:10">
      <c r="A11" s="4" t="s">
        <v>0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1272</v>
      </c>
      <c r="G13" t="s">
        <v>1273</v>
      </c>
      <c r="H13" t="s">
        <v>1274</v>
      </c>
      <c r="I13" t="s">
        <v>1275</v>
      </c>
      <c r="J13" t="s">
        <v>1276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2D030-59B1-4305-8605-8BF857701DD5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7" t="s">
        <v>79</v>
      </c>
      <c r="C1" s="197"/>
      <c r="D1" s="197"/>
      <c r="E1" s="197"/>
      <c r="F1" s="197"/>
    </row>
    <row r="2" spans="1:10">
      <c r="B2" s="4" t="s">
        <v>135</v>
      </c>
      <c r="C2" s="4" t="s">
        <v>136</v>
      </c>
      <c r="D2" s="4" t="s">
        <v>137</v>
      </c>
      <c r="E2" s="4" t="s">
        <v>1249</v>
      </c>
      <c r="F2" s="4" t="s">
        <v>1250</v>
      </c>
    </row>
    <row r="3" spans="1:10">
      <c r="A3" s="4" t="s">
        <v>135</v>
      </c>
      <c r="B3">
        <v>1.9597277323438922E-3</v>
      </c>
      <c r="C3">
        <v>3.76278041067037E-4</v>
      </c>
      <c r="D3">
        <v>-2.6545484312221466E-4</v>
      </c>
      <c r="E3">
        <v>-1.898856953880245E-4</v>
      </c>
      <c r="F3">
        <v>-3.2632455824222205E-4</v>
      </c>
    </row>
    <row r="4" spans="1:10">
      <c r="A4" s="4" t="s">
        <v>136</v>
      </c>
      <c r="B4">
        <v>3.76278041067037E-4</v>
      </c>
      <c r="C4">
        <v>9.1815403115640278E-4</v>
      </c>
      <c r="D4">
        <v>-1.6892280845934704E-5</v>
      </c>
      <c r="E4">
        <v>-2.3429380323617546E-4</v>
      </c>
      <c r="F4">
        <v>-5.3346410134658007E-5</v>
      </c>
    </row>
    <row r="5" spans="1:10">
      <c r="A5" s="4" t="s">
        <v>137</v>
      </c>
      <c r="B5">
        <v>-2.6545484312221466E-4</v>
      </c>
      <c r="C5">
        <v>-1.6892280845934704E-5</v>
      </c>
      <c r="D5">
        <v>8.4011019888231419E-4</v>
      </c>
      <c r="E5">
        <v>5.6929560048213842E-5</v>
      </c>
      <c r="F5">
        <v>3.8468109321352923E-4</v>
      </c>
    </row>
    <row r="6" spans="1:10">
      <c r="A6" s="4" t="s">
        <v>1249</v>
      </c>
      <c r="B6">
        <v>-1.898856953880245E-4</v>
      </c>
      <c r="C6">
        <v>-2.3429380323617546E-4</v>
      </c>
      <c r="D6">
        <v>5.6929560048213842E-5</v>
      </c>
      <c r="E6">
        <v>4.8983055537292724E-4</v>
      </c>
      <c r="F6">
        <v>-1.1334378089463524E-5</v>
      </c>
    </row>
    <row r="7" spans="1:10">
      <c r="A7" s="4" t="s">
        <v>1250</v>
      </c>
      <c r="B7">
        <v>-3.2632455824222205E-4</v>
      </c>
      <c r="C7">
        <v>-5.3346410134658007E-5</v>
      </c>
      <c r="D7">
        <v>3.8468109321352923E-4</v>
      </c>
      <c r="E7">
        <v>-1.1334378089463524E-5</v>
      </c>
      <c r="F7">
        <v>3.9212918320468212E-4</v>
      </c>
    </row>
    <row r="10" spans="1:10">
      <c r="B10" t="s">
        <v>135</v>
      </c>
      <c r="C10" t="s">
        <v>137</v>
      </c>
      <c r="D10" t="s">
        <v>1249</v>
      </c>
      <c r="E10" t="s">
        <v>1250</v>
      </c>
      <c r="F10" t="s">
        <v>51</v>
      </c>
    </row>
    <row r="11" spans="1:10">
      <c r="A11" s="4" t="s">
        <v>0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1272</v>
      </c>
      <c r="B13" t="s">
        <v>135</v>
      </c>
      <c r="C13" t="s">
        <v>137</v>
      </c>
      <c r="D13" t="s">
        <v>1249</v>
      </c>
      <c r="E13" t="s">
        <v>1250</v>
      </c>
      <c r="F13" t="s">
        <v>51</v>
      </c>
      <c r="G13" t="s">
        <v>1273</v>
      </c>
      <c r="H13" t="s">
        <v>1274</v>
      </c>
      <c r="I13" t="s">
        <v>1275</v>
      </c>
      <c r="J13" t="s">
        <v>1276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1277</v>
      </c>
      <c r="B16" t="s">
        <v>135</v>
      </c>
      <c r="C16" t="s">
        <v>137</v>
      </c>
      <c r="D16" t="s">
        <v>1249</v>
      </c>
      <c r="E16" t="s">
        <v>1250</v>
      </c>
      <c r="F16" t="s">
        <v>51</v>
      </c>
    </row>
    <row r="17" spans="1:6">
      <c r="A17" t="s">
        <v>964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1278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0A08F-647F-4EA0-99A9-2516F78A16D5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8" t="s">
        <v>75</v>
      </c>
      <c r="C1" s="198"/>
      <c r="D1" s="198"/>
    </row>
    <row r="2" spans="1:12">
      <c r="B2" s="1" t="s">
        <v>76</v>
      </c>
      <c r="C2" s="1" t="s">
        <v>77</v>
      </c>
      <c r="D2" s="1" t="s">
        <v>78</v>
      </c>
      <c r="E2" s="1" t="s">
        <v>1261</v>
      </c>
      <c r="F2" s="1" t="s">
        <v>1263</v>
      </c>
      <c r="G2" s="1" t="s">
        <v>1264</v>
      </c>
      <c r="H2" s="1" t="s">
        <v>1265</v>
      </c>
      <c r="I2" s="1" t="s">
        <v>1266</v>
      </c>
      <c r="J2" s="1" t="s">
        <v>1267</v>
      </c>
      <c r="K2" s="1" t="s">
        <v>1268</v>
      </c>
      <c r="L2" s="1" t="s">
        <v>93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0.14866407409350707</v>
      </c>
      <c r="I3">
        <v>0.14385923219822064</v>
      </c>
      <c r="J3">
        <v>8.6897574956699683E-2</v>
      </c>
      <c r="K3">
        <v>0.2014942563781664</v>
      </c>
      <c r="L3">
        <v>0.01</v>
      </c>
    </row>
    <row r="5" spans="1:12">
      <c r="B5" s="198" t="s">
        <v>79</v>
      </c>
      <c r="C5" s="198"/>
      <c r="D5" s="198"/>
    </row>
    <row r="7" spans="1:12">
      <c r="B7" s="1" t="s">
        <v>76</v>
      </c>
      <c r="C7" s="1" t="s">
        <v>77</v>
      </c>
      <c r="D7" s="1" t="s">
        <v>78</v>
      </c>
      <c r="E7" s="1" t="s">
        <v>1261</v>
      </c>
      <c r="F7" s="1" t="s">
        <v>1263</v>
      </c>
      <c r="G7" s="1" t="s">
        <v>1264</v>
      </c>
      <c r="H7" s="1" t="s">
        <v>1265</v>
      </c>
      <c r="I7" s="1" t="s">
        <v>1266</v>
      </c>
      <c r="J7" s="1" t="s">
        <v>1267</v>
      </c>
      <c r="K7" s="1" t="s">
        <v>1268</v>
      </c>
    </row>
    <row r="8" spans="1:12">
      <c r="A8" s="1" t="s">
        <v>76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77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78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1261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1263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1264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1265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1266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1267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1268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82</v>
      </c>
      <c r="C19" s="198"/>
      <c r="D19" s="198"/>
    </row>
    <row r="20" spans="1:12">
      <c r="B20" s="1" t="s">
        <v>76</v>
      </c>
      <c r="C20" s="1" t="s">
        <v>77</v>
      </c>
      <c r="D20" s="1" t="s">
        <v>78</v>
      </c>
      <c r="E20" s="1" t="s">
        <v>1261</v>
      </c>
      <c r="F20" s="1" t="s">
        <v>1263</v>
      </c>
      <c r="G20" s="1" t="s">
        <v>1264</v>
      </c>
      <c r="H20" s="1" t="s">
        <v>1265</v>
      </c>
      <c r="I20" s="1" t="s">
        <v>1266</v>
      </c>
      <c r="J20" s="1" t="s">
        <v>1267</v>
      </c>
      <c r="K20" s="1" t="s">
        <v>1268</v>
      </c>
    </row>
    <row r="21" spans="1:12">
      <c r="A21" s="1" t="s">
        <v>1257</v>
      </c>
      <c r="B21" s="194">
        <v>0.12</v>
      </c>
      <c r="C21" s="194">
        <v>0.08</v>
      </c>
      <c r="D21" s="194">
        <v>0.16</v>
      </c>
      <c r="E21" s="194">
        <v>7.0000000000000007E-2</v>
      </c>
      <c r="F21" s="194">
        <v>0.08</v>
      </c>
      <c r="G21" s="194">
        <v>0.11</v>
      </c>
      <c r="H21" s="194">
        <v>0.09</v>
      </c>
      <c r="I21" s="194">
        <v>0.08</v>
      </c>
      <c r="J21" s="194">
        <v>0.11</v>
      </c>
      <c r="K21" s="194">
        <f>1-SUM(B21:J21)</f>
        <v>0.10000000000000009</v>
      </c>
    </row>
    <row r="22" spans="1:12">
      <c r="A22" s="1" t="s">
        <v>1270</v>
      </c>
      <c r="B22" s="6">
        <v>0.12914360513608822</v>
      </c>
      <c r="C22" s="6">
        <v>6.7425270583213681E-2</v>
      </c>
      <c r="D22" s="6">
        <v>0.26283004296708745</v>
      </c>
      <c r="E22" s="6">
        <v>-0.19476517066983451</v>
      </c>
      <c r="F22" s="6">
        <v>0.10196643615185551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2.3215514615123015E-2</v>
      </c>
      <c r="L22" s="2"/>
    </row>
    <row r="23" spans="1:12">
      <c r="A23" s="1" t="s">
        <v>1262</v>
      </c>
      <c r="B23" s="6">
        <f>B21+B22</f>
        <v>0.24914360513608821</v>
      </c>
      <c r="C23" s="6">
        <f>C21+C22</f>
        <v>0.1474252705832137</v>
      </c>
      <c r="D23" s="6">
        <f>D21+D22</f>
        <v>0.42283004296708748</v>
      </c>
      <c r="E23" s="6">
        <f t="shared" ref="E23:K23" si="0">E21+E22</f>
        <v>-0.1247651706698345</v>
      </c>
      <c r="F23" s="6">
        <f>F21+F22</f>
        <v>0.18196643615185551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0.1232155146151231</v>
      </c>
      <c r="L23" s="2"/>
    </row>
    <row r="25" spans="1:12">
      <c r="B25" s="1"/>
      <c r="C25" s="1" t="s">
        <v>964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1260</v>
      </c>
      <c r="C26" s="1" t="s">
        <v>277</v>
      </c>
      <c r="D26" s="1" t="s">
        <v>0</v>
      </c>
      <c r="E26" s="1" t="s">
        <v>132</v>
      </c>
      <c r="F26" s="1"/>
      <c r="G26" s="1"/>
      <c r="H26" s="1"/>
      <c r="I26" s="1"/>
      <c r="J26" s="1"/>
    </row>
    <row r="27" spans="1:12">
      <c r="A27" s="1" t="s">
        <v>76</v>
      </c>
      <c r="B27">
        <f t="shared" ref="B27:B36" si="1">SUMPRODUCT($B$21:$K$21,B8:K8)</f>
        <v>1.8731670000000002E-2</v>
      </c>
      <c r="C27">
        <f>B27/$B$39</f>
        <v>0.49735367445510759</v>
      </c>
      <c r="D27">
        <f>B3</f>
        <v>0.15342</v>
      </c>
      <c r="E27">
        <f t="shared" ref="E27:E36" si="2">D27-$L$3-C27*($D$39-$L$3)</f>
        <v>7.8764022254635177E-2</v>
      </c>
    </row>
    <row r="28" spans="1:12">
      <c r="A28" s="1" t="s">
        <v>77</v>
      </c>
      <c r="B28">
        <f t="shared" si="1"/>
        <v>4.8021430000000011E-2</v>
      </c>
      <c r="C28">
        <f>B28/$B$39</f>
        <v>1.2750403281228391</v>
      </c>
      <c r="D28">
        <f>C3</f>
        <v>0.18435000000000001</v>
      </c>
      <c r="E28">
        <f t="shared" si="2"/>
        <v>8.5947571743152373E-3</v>
      </c>
    </row>
    <row r="29" spans="1:12">
      <c r="A29" s="1" t="s">
        <v>78</v>
      </c>
      <c r="B29">
        <f t="shared" si="1"/>
        <v>3.7554100000000007E-2</v>
      </c>
      <c r="C29">
        <f>B29/$B$39</f>
        <v>0.99711716178293541</v>
      </c>
      <c r="D29">
        <f>D3</f>
        <v>0.19345000000000001</v>
      </c>
      <c r="E29">
        <f t="shared" si="2"/>
        <v>5.3824768835495973E-2</v>
      </c>
    </row>
    <row r="30" spans="1:12">
      <c r="A30" s="1" t="s">
        <v>1261</v>
      </c>
      <c r="B30">
        <f t="shared" si="1"/>
        <v>1.0016899999999987E-3</v>
      </c>
      <c r="C30">
        <f t="shared" ref="C30:C36" si="3">B30/$B$39</f>
        <v>2.6596358048424727E-2</v>
      </c>
      <c r="D30">
        <f>E3</f>
        <v>7.7217880214488763E-2</v>
      </c>
      <c r="E30">
        <f t="shared" si="2"/>
        <v>6.3760353664653421E-2</v>
      </c>
    </row>
    <row r="31" spans="1:12">
      <c r="A31" s="1" t="s">
        <v>1263</v>
      </c>
      <c r="B31">
        <f t="shared" si="1"/>
        <v>1.1583940000000001E-2</v>
      </c>
      <c r="C31">
        <f t="shared" si="3"/>
        <v>0.30757082116370293</v>
      </c>
      <c r="D31">
        <f>F3</f>
        <v>8.8456858771408228E-2</v>
      </c>
      <c r="E31">
        <f t="shared" si="2"/>
        <v>3.8472651979187283E-2</v>
      </c>
    </row>
    <row r="32" spans="1:12">
      <c r="A32" s="1" t="s">
        <v>1264</v>
      </c>
      <c r="B32">
        <f t="shared" si="1"/>
        <v>3.7165600000000042E-3</v>
      </c>
      <c r="C32">
        <f t="shared" si="3"/>
        <v>9.8680190945755322E-2</v>
      </c>
      <c r="D32">
        <f>G3</f>
        <v>8.01012335368394E-2</v>
      </c>
      <c r="E32">
        <f t="shared" si="2"/>
        <v>5.7272808700756274E-2</v>
      </c>
    </row>
    <row r="33" spans="1:19">
      <c r="A33" s="1" t="s">
        <v>1265</v>
      </c>
      <c r="B33">
        <f t="shared" si="1"/>
        <v>6.8273060000000024E-2</v>
      </c>
      <c r="C33">
        <f t="shared" si="3"/>
        <v>1.8127511992947791</v>
      </c>
      <c r="D33">
        <f>H3</f>
        <v>0.14866407409350707</v>
      </c>
      <c r="E33">
        <f t="shared" si="2"/>
        <v>-9.6993582056102534E-2</v>
      </c>
    </row>
    <row r="34" spans="1:19">
      <c r="A34" s="1" t="s">
        <v>1266</v>
      </c>
      <c r="B34">
        <f t="shared" si="1"/>
        <v>6.3748980000000011E-2</v>
      </c>
      <c r="C34">
        <f t="shared" si="3"/>
        <v>1.6926301523444074</v>
      </c>
      <c r="D34">
        <f>I3</f>
        <v>0.14385923219822064</v>
      </c>
      <c r="E34">
        <f t="shared" si="2"/>
        <v>-8.618268783185179E-2</v>
      </c>
    </row>
    <row r="35" spans="1:19">
      <c r="A35" s="1" t="s">
        <v>1267</v>
      </c>
      <c r="B35">
        <f t="shared" si="1"/>
        <v>1.011577E-2</v>
      </c>
      <c r="C35">
        <f t="shared" si="3"/>
        <v>0.26858872590872801</v>
      </c>
      <c r="D35">
        <f>J3</f>
        <v>8.6897574956699683E-2</v>
      </c>
      <c r="E35">
        <f t="shared" si="2"/>
        <v>4.1981040552814236E-2</v>
      </c>
    </row>
    <row r="36" spans="1:19">
      <c r="A36" s="1" t="s">
        <v>1268</v>
      </c>
      <c r="B36">
        <f t="shared" si="1"/>
        <v>0.11801621000000005</v>
      </c>
      <c r="C36">
        <f t="shared" si="3"/>
        <v>3.1335057519572804</v>
      </c>
      <c r="D36">
        <f>K3</f>
        <v>0.2014942563781664</v>
      </c>
      <c r="E36">
        <f t="shared" si="2"/>
        <v>-0.21586149179336891</v>
      </c>
    </row>
    <row r="37" spans="1:19">
      <c r="A37" s="1"/>
    </row>
    <row r="38" spans="1:19">
      <c r="A38" s="1"/>
      <c r="B38" t="s">
        <v>1269</v>
      </c>
      <c r="C38" t="s">
        <v>277</v>
      </c>
      <c r="D38" t="s">
        <v>0</v>
      </c>
      <c r="E38" t="s">
        <v>132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964</v>
      </c>
      <c r="B39">
        <f>SUMPRODUCT(MMULT(B21:K21,$B$8:$K$17),B21:K21)</f>
        <v>3.7662675400000026E-2</v>
      </c>
      <c r="C39" cm="1">
        <f t="array" ref="C39">MMULT(B21:K21,$C$27:$C$36)</f>
        <v>0.99999999999999978</v>
      </c>
      <c r="D39" s="15">
        <f>SUMPRODUCT(B21:K21,$B$3:$K$3)</f>
        <v>0.14000000013310615</v>
      </c>
      <c r="E39" s="15" cm="1">
        <f t="array" ref="E39">MMULT(B21:K21,$E$27:$E$36)</f>
        <v>-1.3877787807814457E-17</v>
      </c>
    </row>
    <row r="40" spans="1:19">
      <c r="A40" s="1" t="s">
        <v>1271</v>
      </c>
      <c r="B40">
        <f>SUMPRODUCT(MMULT(B22:K22,$B$8:$K$17),B22:K22)</f>
        <v>2.5000999970443138E-3</v>
      </c>
      <c r="C40" cm="1">
        <f t="array" ref="C40">MMULT(B22:K22,$C$27:$C$36)</f>
        <v>-1.357478712771254E-10</v>
      </c>
      <c r="D40" s="15">
        <f>SUMPRODUCT(B22:K22,$B$3:$K$3)</f>
        <v>3.1611561853024835E-2</v>
      </c>
      <c r="E40" cm="1">
        <f t="array" ref="E40">MMULT(B22:K22,$E$27:$E$36)</f>
        <v>3.1611561870672059E-2</v>
      </c>
    </row>
    <row r="41" spans="1:19">
      <c r="A41" s="1" t="s">
        <v>6</v>
      </c>
      <c r="B41">
        <f>SUMPRODUCT(MMULT(B23:K23,$B$8:$K$17),B23:K23)</f>
        <v>4.0162775386819075E-2</v>
      </c>
      <c r="C41" cm="1">
        <f t="array" ref="C41">MMULT(B23:K23,$C$27:$C$36)</f>
        <v>0.99999999986425214</v>
      </c>
      <c r="D41" s="15">
        <f>SUMPRODUCT(B23:K23,$B$3:$K$3)</f>
        <v>0.17161156198613095</v>
      </c>
      <c r="E41" cm="1">
        <f t="array" ref="E41">MMULT(B23:K23,$E$27:$E$36)</f>
        <v>3.1611561870672045E-2</v>
      </c>
      <c r="F41" s="85"/>
    </row>
    <row r="42" spans="1:19">
      <c r="D42" s="15"/>
    </row>
    <row r="43" spans="1:19">
      <c r="A43" s="1" t="s">
        <v>1258</v>
      </c>
      <c r="B43">
        <f>SQRT(B40)</f>
        <v>5.000099996044393E-2</v>
      </c>
    </row>
    <row r="44" spans="1:19">
      <c r="A44" s="1" t="s">
        <v>132</v>
      </c>
      <c r="B44">
        <f>E40</f>
        <v>3.1611561870672059E-2</v>
      </c>
    </row>
    <row r="45" spans="1:19">
      <c r="A45" s="1" t="s">
        <v>1259</v>
      </c>
      <c r="B45">
        <f>B44/B43</f>
        <v>0.63221859354173204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9:D19"/>
    <mergeCell ref="B1:D1"/>
    <mergeCell ref="B5:D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8EA58-8BDB-4317-9CAB-2E3C6E99EAA2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8" t="s">
        <v>75</v>
      </c>
      <c r="C1" s="198"/>
      <c r="D1" s="198"/>
    </row>
    <row r="2" spans="1:12">
      <c r="B2" s="1" t="s">
        <v>76</v>
      </c>
      <c r="C2" s="1" t="s">
        <v>77</v>
      </c>
      <c r="D2" s="1" t="s">
        <v>1279</v>
      </c>
      <c r="E2" s="1" t="s">
        <v>66</v>
      </c>
    </row>
    <row r="3" spans="1:12">
      <c r="B3" s="46">
        <v>5.2451071182320494E-2</v>
      </c>
      <c r="C3">
        <v>0.11180013660035645</v>
      </c>
      <c r="D3">
        <v>0.08</v>
      </c>
      <c r="E3">
        <v>0.01</v>
      </c>
    </row>
    <row r="5" spans="1:12">
      <c r="B5" s="198" t="s">
        <v>79</v>
      </c>
      <c r="C5" s="198"/>
      <c r="D5" s="198"/>
    </row>
    <row r="7" spans="1:12">
      <c r="B7" s="1" t="s">
        <v>76</v>
      </c>
      <c r="C7" s="1" t="s">
        <v>77</v>
      </c>
      <c r="D7" s="1" t="s">
        <v>1279</v>
      </c>
    </row>
    <row r="8" spans="1:12">
      <c r="A8" s="1" t="s">
        <v>76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77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1279</v>
      </c>
      <c r="B10">
        <v>7.8192000000000018E-3</v>
      </c>
      <c r="C10">
        <v>1.3710000000000003E-2</v>
      </c>
      <c r="D10">
        <v>1.6866720000000002E-2</v>
      </c>
    </row>
    <row r="13" spans="1:12">
      <c r="B13" s="197" t="s">
        <v>82</v>
      </c>
      <c r="C13" s="197"/>
      <c r="D13" s="197"/>
    </row>
    <row r="14" spans="1:12">
      <c r="B14" s="1" t="s">
        <v>76</v>
      </c>
      <c r="C14" s="1" t="s">
        <v>77</v>
      </c>
      <c r="D14" s="1" t="s">
        <v>1279</v>
      </c>
      <c r="I14" s="1">
        <v>-0.25</v>
      </c>
      <c r="J14" s="1"/>
      <c r="K14" s="1"/>
      <c r="L14" s="1"/>
    </row>
    <row r="15" spans="1:12">
      <c r="A15" s="1" t="s">
        <v>80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1257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1280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1281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1282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1283</v>
      </c>
      <c r="B21" t="s">
        <v>1260</v>
      </c>
      <c r="C21" t="s">
        <v>277</v>
      </c>
      <c r="D21" t="s">
        <v>0</v>
      </c>
      <c r="E21" t="s">
        <v>132</v>
      </c>
      <c r="F21" t="s">
        <v>1284</v>
      </c>
    </row>
    <row r="22" spans="1:9">
      <c r="A22" s="1" t="s">
        <v>76</v>
      </c>
      <c r="B22">
        <f>D8</f>
        <v>7.8192000000000001E-3</v>
      </c>
      <c r="C22">
        <f>B22/$B$24</f>
        <v>0.46358746691710062</v>
      </c>
      <c r="D22" s="46">
        <f>B3</f>
        <v>5.2451071182320494E-2</v>
      </c>
      <c r="E22">
        <f>D22-$E$3-C22*($D$3-$E$3)</f>
        <v>9.9999484981234468E-3</v>
      </c>
      <c r="F22" cm="1">
        <f t="array" ref="F22">MMULT(B15:D15,C22:C24)</f>
        <v>1.0000000000000073</v>
      </c>
    </row>
    <row r="23" spans="1:9">
      <c r="A23" s="1" t="s">
        <v>77</v>
      </c>
      <c r="B23">
        <f>D9</f>
        <v>1.9709999999999998E-2</v>
      </c>
      <c r="C23">
        <f>B23/$B$24</f>
        <v>1.1685733800051223</v>
      </c>
      <c r="D23">
        <f>C3</f>
        <v>0.11180013660035645</v>
      </c>
      <c r="E23">
        <f>D23-$E$3-C23*($D$3-$E$3)</f>
        <v>1.9999999999997881E-2</v>
      </c>
    </row>
    <row r="24" spans="1:9">
      <c r="A24" s="1" t="s">
        <v>964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1258</v>
      </c>
      <c r="B28">
        <f>SQRT(SUMPRODUCT(MMULT(B17:D17,B8:D10),B17:D17))</f>
        <v>4.9999973712905953E-2</v>
      </c>
    </row>
    <row r="29" spans="1:9">
      <c r="A29" s="1" t="s">
        <v>132</v>
      </c>
      <c r="B29">
        <f>SUMPRODUCT(B17:D17,B3:D3)</f>
        <v>6.7571003603078966E-3</v>
      </c>
    </row>
    <row r="30" spans="1:9">
      <c r="A30" s="1" t="s">
        <v>1259</v>
      </c>
      <c r="B30">
        <f>B29/B28</f>
        <v>0.13514207825600835</v>
      </c>
    </row>
  </sheetData>
  <mergeCells count="3">
    <mergeCell ref="B1:D1"/>
    <mergeCell ref="B5:D5"/>
    <mergeCell ref="B13:D1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151</v>
      </c>
      <c r="B2" t="s">
        <v>152</v>
      </c>
      <c r="C2" t="s">
        <v>153</v>
      </c>
      <c r="D2" t="s">
        <v>154</v>
      </c>
      <c r="F2" t="s">
        <v>155</v>
      </c>
    </row>
    <row r="3" spans="1:6">
      <c r="A3">
        <v>70</v>
      </c>
      <c r="B3">
        <f>MAX(A3-80,0)-11.6</f>
        <v>-11.6</v>
      </c>
      <c r="C3">
        <f>MAX(A3-100,0)-1.88</f>
        <v>-1.88</v>
      </c>
      <c r="D3">
        <f>MAX(A3-120,0)-0.125</f>
        <v>-0.125</v>
      </c>
      <c r="F3">
        <f>B3-2*C3+D3</f>
        <v>-7.9649999999999999</v>
      </c>
    </row>
    <row r="4" spans="1:6">
      <c r="A4">
        <f>A3+1</f>
        <v>71</v>
      </c>
      <c r="B4">
        <f t="shared" ref="B4:B63" si="0">MAX(A4-80,0)-11.6</f>
        <v>-11.6</v>
      </c>
      <c r="C4">
        <f t="shared" ref="C4:C63" si="1">MAX(A4-100,0)-1.88</f>
        <v>-1.88</v>
      </c>
      <c r="D4">
        <f t="shared" ref="D4:D63" si="2">MAX(A4-120,0)-0.125</f>
        <v>-0.125</v>
      </c>
      <c r="F4">
        <f t="shared" ref="F4:F63" si="3">B4-2*C4+D4</f>
        <v>-7.9649999999999999</v>
      </c>
    </row>
    <row r="5" spans="1:6">
      <c r="A5">
        <f t="shared" ref="A5:A46" si="4">A4+1</f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si="0"/>
        <v>10.4</v>
      </c>
      <c r="C35">
        <f t="shared" si="1"/>
        <v>0.12000000000000011</v>
      </c>
      <c r="D35">
        <f t="shared" si="2"/>
        <v>-0.125</v>
      </c>
      <c r="F35">
        <f t="shared" si="3"/>
        <v>10.035</v>
      </c>
    </row>
    <row r="36" spans="1:6">
      <c r="A36">
        <f t="shared" si="4"/>
        <v>103</v>
      </c>
      <c r="B36">
        <f t="shared" si="0"/>
        <v>11.4</v>
      </c>
      <c r="C36">
        <f t="shared" si="1"/>
        <v>1.1200000000000001</v>
      </c>
      <c r="D36">
        <f t="shared" si="2"/>
        <v>-0.125</v>
      </c>
      <c r="F36">
        <f t="shared" si="3"/>
        <v>9.0350000000000001</v>
      </c>
    </row>
    <row r="37" spans="1:6">
      <c r="A37">
        <f t="shared" si="4"/>
        <v>104</v>
      </c>
      <c r="B37">
        <f t="shared" si="0"/>
        <v>12.4</v>
      </c>
      <c r="C37">
        <f t="shared" si="1"/>
        <v>2.12</v>
      </c>
      <c r="D37">
        <f t="shared" si="2"/>
        <v>-0.125</v>
      </c>
      <c r="F37">
        <f t="shared" si="3"/>
        <v>8.0350000000000001</v>
      </c>
    </row>
    <row r="38" spans="1:6">
      <c r="A38">
        <f t="shared" si="4"/>
        <v>105</v>
      </c>
      <c r="B38">
        <f t="shared" si="0"/>
        <v>13.4</v>
      </c>
      <c r="C38">
        <f t="shared" si="1"/>
        <v>3.12</v>
      </c>
      <c r="D38">
        <f t="shared" si="2"/>
        <v>-0.125</v>
      </c>
      <c r="F38">
        <f t="shared" si="3"/>
        <v>7.0350000000000001</v>
      </c>
    </row>
    <row r="39" spans="1:6">
      <c r="A39">
        <f t="shared" si="4"/>
        <v>106</v>
      </c>
      <c r="B39">
        <f t="shared" si="0"/>
        <v>14.4</v>
      </c>
      <c r="C39">
        <f t="shared" si="1"/>
        <v>4.12</v>
      </c>
      <c r="D39">
        <f t="shared" si="2"/>
        <v>-0.125</v>
      </c>
      <c r="F39">
        <f t="shared" si="3"/>
        <v>6.0350000000000001</v>
      </c>
    </row>
    <row r="40" spans="1:6">
      <c r="A40">
        <f t="shared" si="4"/>
        <v>107</v>
      </c>
      <c r="B40">
        <f t="shared" si="0"/>
        <v>15.4</v>
      </c>
      <c r="C40">
        <f t="shared" si="1"/>
        <v>5.12</v>
      </c>
      <c r="D40">
        <f t="shared" si="2"/>
        <v>-0.125</v>
      </c>
      <c r="F40">
        <f t="shared" si="3"/>
        <v>5.0350000000000001</v>
      </c>
    </row>
    <row r="41" spans="1:6">
      <c r="A41">
        <f t="shared" si="4"/>
        <v>108</v>
      </c>
      <c r="B41">
        <f t="shared" si="0"/>
        <v>16.399999999999999</v>
      </c>
      <c r="C41">
        <f t="shared" si="1"/>
        <v>6.12</v>
      </c>
      <c r="D41">
        <f t="shared" si="2"/>
        <v>-0.125</v>
      </c>
      <c r="F41">
        <f t="shared" si="3"/>
        <v>4.0349999999999984</v>
      </c>
    </row>
    <row r="42" spans="1:6">
      <c r="A42">
        <f t="shared" si="4"/>
        <v>109</v>
      </c>
      <c r="B42">
        <f t="shared" si="0"/>
        <v>17.399999999999999</v>
      </c>
      <c r="C42">
        <f t="shared" si="1"/>
        <v>7.12</v>
      </c>
      <c r="D42">
        <f t="shared" si="2"/>
        <v>-0.125</v>
      </c>
      <c r="F42">
        <f t="shared" si="3"/>
        <v>3.0349999999999984</v>
      </c>
    </row>
    <row r="43" spans="1:6">
      <c r="A43">
        <f t="shared" si="4"/>
        <v>110</v>
      </c>
      <c r="B43">
        <f t="shared" si="0"/>
        <v>18.399999999999999</v>
      </c>
      <c r="C43">
        <f t="shared" si="1"/>
        <v>8.120000000000001</v>
      </c>
      <c r="D43">
        <f t="shared" si="2"/>
        <v>-0.125</v>
      </c>
      <c r="F43">
        <f t="shared" si="3"/>
        <v>2.0349999999999966</v>
      </c>
    </row>
    <row r="44" spans="1:6">
      <c r="A44">
        <f t="shared" si="4"/>
        <v>111</v>
      </c>
      <c r="B44">
        <f t="shared" si="0"/>
        <v>19.399999999999999</v>
      </c>
      <c r="C44">
        <f t="shared" si="1"/>
        <v>9.120000000000001</v>
      </c>
      <c r="D44">
        <f t="shared" si="2"/>
        <v>-0.125</v>
      </c>
      <c r="F44">
        <f t="shared" si="3"/>
        <v>1.0349999999999966</v>
      </c>
    </row>
    <row r="45" spans="1:6">
      <c r="A45">
        <f t="shared" si="4"/>
        <v>112</v>
      </c>
      <c r="B45">
        <f t="shared" si="0"/>
        <v>20.399999999999999</v>
      </c>
      <c r="C45">
        <f t="shared" si="1"/>
        <v>10.120000000000001</v>
      </c>
      <c r="D45">
        <f t="shared" si="2"/>
        <v>-0.125</v>
      </c>
      <c r="F45">
        <f t="shared" si="3"/>
        <v>3.4999999999996589E-2</v>
      </c>
    </row>
    <row r="46" spans="1:6">
      <c r="A46">
        <f t="shared" si="4"/>
        <v>113</v>
      </c>
      <c r="B46">
        <f t="shared" si="0"/>
        <v>21.4</v>
      </c>
      <c r="C46">
        <f t="shared" si="1"/>
        <v>11.120000000000001</v>
      </c>
      <c r="D46">
        <f t="shared" si="2"/>
        <v>-0.125</v>
      </c>
      <c r="F46">
        <f t="shared" si="3"/>
        <v>-0.96500000000000341</v>
      </c>
    </row>
    <row r="47" spans="1:6">
      <c r="A47">
        <f>A46+1</f>
        <v>114</v>
      </c>
      <c r="B47">
        <f t="shared" si="0"/>
        <v>22.4</v>
      </c>
      <c r="C47">
        <f t="shared" si="1"/>
        <v>12.120000000000001</v>
      </c>
      <c r="D47">
        <f t="shared" si="2"/>
        <v>-0.125</v>
      </c>
      <c r="F47">
        <f t="shared" si="3"/>
        <v>-1.9650000000000034</v>
      </c>
    </row>
    <row r="48" spans="1:6">
      <c r="A48">
        <f t="shared" ref="A48:A63" si="5">A47+1</f>
        <v>115</v>
      </c>
      <c r="B48">
        <f t="shared" si="0"/>
        <v>23.4</v>
      </c>
      <c r="C48">
        <f t="shared" si="1"/>
        <v>13.120000000000001</v>
      </c>
      <c r="D48">
        <f t="shared" si="2"/>
        <v>-0.125</v>
      </c>
      <c r="F48">
        <f t="shared" si="3"/>
        <v>-2.9650000000000034</v>
      </c>
    </row>
    <row r="49" spans="1:6">
      <c r="A49">
        <f t="shared" si="5"/>
        <v>116</v>
      </c>
      <c r="B49">
        <f t="shared" si="0"/>
        <v>24.4</v>
      </c>
      <c r="C49">
        <f t="shared" si="1"/>
        <v>14.120000000000001</v>
      </c>
      <c r="D49">
        <f t="shared" si="2"/>
        <v>-0.125</v>
      </c>
      <c r="F49">
        <f t="shared" si="3"/>
        <v>-3.9650000000000034</v>
      </c>
    </row>
    <row r="50" spans="1:6">
      <c r="A50">
        <f t="shared" si="5"/>
        <v>117</v>
      </c>
      <c r="B50">
        <f t="shared" si="0"/>
        <v>25.4</v>
      </c>
      <c r="C50">
        <f t="shared" si="1"/>
        <v>15.120000000000001</v>
      </c>
      <c r="D50">
        <f t="shared" si="2"/>
        <v>-0.125</v>
      </c>
      <c r="F50">
        <f t="shared" si="3"/>
        <v>-4.9650000000000034</v>
      </c>
    </row>
    <row r="51" spans="1:6">
      <c r="A51">
        <f t="shared" si="5"/>
        <v>118</v>
      </c>
      <c r="B51">
        <f t="shared" si="0"/>
        <v>26.4</v>
      </c>
      <c r="C51">
        <f t="shared" si="1"/>
        <v>16.12</v>
      </c>
      <c r="D51">
        <f t="shared" si="2"/>
        <v>-0.125</v>
      </c>
      <c r="F51">
        <f t="shared" si="3"/>
        <v>-5.9650000000000034</v>
      </c>
    </row>
    <row r="52" spans="1:6">
      <c r="A52">
        <f t="shared" si="5"/>
        <v>119</v>
      </c>
      <c r="B52">
        <f t="shared" si="0"/>
        <v>27.4</v>
      </c>
      <c r="C52">
        <f t="shared" si="1"/>
        <v>17.12</v>
      </c>
      <c r="D52">
        <f t="shared" si="2"/>
        <v>-0.125</v>
      </c>
      <c r="F52">
        <f t="shared" si="3"/>
        <v>-6.9650000000000034</v>
      </c>
    </row>
    <row r="53" spans="1:6">
      <c r="A53">
        <f t="shared" si="5"/>
        <v>120</v>
      </c>
      <c r="B53">
        <f t="shared" si="0"/>
        <v>28.4</v>
      </c>
      <c r="C53">
        <f t="shared" si="1"/>
        <v>18.12</v>
      </c>
      <c r="D53">
        <f t="shared" si="2"/>
        <v>-0.125</v>
      </c>
      <c r="F53">
        <f t="shared" si="3"/>
        <v>-7.9650000000000034</v>
      </c>
    </row>
    <row r="54" spans="1:6">
      <c r="A54">
        <f t="shared" si="5"/>
        <v>121</v>
      </c>
      <c r="B54">
        <f t="shared" si="0"/>
        <v>29.4</v>
      </c>
      <c r="C54">
        <f t="shared" si="1"/>
        <v>19.12</v>
      </c>
      <c r="D54">
        <f t="shared" si="2"/>
        <v>0.875</v>
      </c>
      <c r="F54">
        <f t="shared" si="3"/>
        <v>-7.9650000000000034</v>
      </c>
    </row>
    <row r="55" spans="1:6">
      <c r="A55">
        <f t="shared" si="5"/>
        <v>122</v>
      </c>
      <c r="B55">
        <f t="shared" si="0"/>
        <v>30.4</v>
      </c>
      <c r="C55">
        <f t="shared" si="1"/>
        <v>20.12</v>
      </c>
      <c r="D55">
        <f t="shared" si="2"/>
        <v>1.875</v>
      </c>
      <c r="F55">
        <f t="shared" si="3"/>
        <v>-7.9650000000000034</v>
      </c>
    </row>
    <row r="56" spans="1:6">
      <c r="A56">
        <f t="shared" si="5"/>
        <v>123</v>
      </c>
      <c r="B56">
        <f t="shared" si="0"/>
        <v>31.4</v>
      </c>
      <c r="C56">
        <f t="shared" si="1"/>
        <v>21.12</v>
      </c>
      <c r="D56">
        <f t="shared" si="2"/>
        <v>2.875</v>
      </c>
      <c r="F56">
        <f t="shared" si="3"/>
        <v>-7.9650000000000034</v>
      </c>
    </row>
    <row r="57" spans="1:6">
      <c r="A57">
        <f t="shared" si="5"/>
        <v>124</v>
      </c>
      <c r="B57">
        <f t="shared" si="0"/>
        <v>32.4</v>
      </c>
      <c r="C57">
        <f t="shared" si="1"/>
        <v>22.12</v>
      </c>
      <c r="D57">
        <f t="shared" si="2"/>
        <v>3.875</v>
      </c>
      <c r="F57">
        <f t="shared" si="3"/>
        <v>-7.9650000000000034</v>
      </c>
    </row>
    <row r="58" spans="1:6">
      <c r="A58">
        <f t="shared" si="5"/>
        <v>125</v>
      </c>
      <c r="B58">
        <f t="shared" si="0"/>
        <v>33.4</v>
      </c>
      <c r="C58">
        <f t="shared" si="1"/>
        <v>23.12</v>
      </c>
      <c r="D58">
        <f t="shared" si="2"/>
        <v>4.875</v>
      </c>
      <c r="F58">
        <f t="shared" si="3"/>
        <v>-7.9650000000000034</v>
      </c>
    </row>
    <row r="59" spans="1:6">
      <c r="A59">
        <f t="shared" si="5"/>
        <v>126</v>
      </c>
      <c r="B59">
        <f t="shared" si="0"/>
        <v>34.4</v>
      </c>
      <c r="C59">
        <f t="shared" si="1"/>
        <v>24.12</v>
      </c>
      <c r="D59">
        <f t="shared" si="2"/>
        <v>5.875</v>
      </c>
      <c r="F59">
        <f t="shared" si="3"/>
        <v>-7.9650000000000034</v>
      </c>
    </row>
    <row r="60" spans="1:6">
      <c r="A60">
        <f t="shared" si="5"/>
        <v>127</v>
      </c>
      <c r="B60">
        <f t="shared" si="0"/>
        <v>35.4</v>
      </c>
      <c r="C60">
        <f t="shared" si="1"/>
        <v>25.12</v>
      </c>
      <c r="D60">
        <f t="shared" si="2"/>
        <v>6.875</v>
      </c>
      <c r="F60">
        <f t="shared" si="3"/>
        <v>-7.9650000000000034</v>
      </c>
    </row>
    <row r="61" spans="1:6">
      <c r="A61">
        <f t="shared" si="5"/>
        <v>128</v>
      </c>
      <c r="B61">
        <f t="shared" si="0"/>
        <v>36.4</v>
      </c>
      <c r="C61">
        <f t="shared" si="1"/>
        <v>26.12</v>
      </c>
      <c r="D61">
        <f t="shared" si="2"/>
        <v>7.875</v>
      </c>
      <c r="F61">
        <f t="shared" si="3"/>
        <v>-7.9650000000000034</v>
      </c>
    </row>
    <row r="62" spans="1:6">
      <c r="A62">
        <f t="shared" si="5"/>
        <v>129</v>
      </c>
      <c r="B62">
        <f t="shared" si="0"/>
        <v>37.4</v>
      </c>
      <c r="C62">
        <f t="shared" si="1"/>
        <v>27.12</v>
      </c>
      <c r="D62">
        <f t="shared" si="2"/>
        <v>8.875</v>
      </c>
      <c r="F62">
        <f t="shared" si="3"/>
        <v>-7.9650000000000034</v>
      </c>
    </row>
    <row r="63" spans="1:6">
      <c r="A63">
        <f t="shared" si="5"/>
        <v>130</v>
      </c>
      <c r="B63">
        <f t="shared" si="0"/>
        <v>38.4</v>
      </c>
      <c r="C63">
        <f t="shared" si="1"/>
        <v>28.12</v>
      </c>
      <c r="D63">
        <f t="shared" si="2"/>
        <v>9.875</v>
      </c>
      <c r="F63">
        <f t="shared" si="3"/>
        <v>-7.9650000000000034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156</v>
      </c>
      <c r="C3">
        <v>30</v>
      </c>
    </row>
    <row r="4" spans="1:3">
      <c r="A4" s="63" t="s">
        <v>1</v>
      </c>
      <c r="B4" t="s">
        <v>174</v>
      </c>
      <c r="C4">
        <v>0.5</v>
      </c>
    </row>
    <row r="5" spans="1:3">
      <c r="A5" t="s">
        <v>21</v>
      </c>
      <c r="B5" t="s">
        <v>157</v>
      </c>
      <c r="C5">
        <v>40</v>
      </c>
    </row>
    <row r="6" spans="1:3">
      <c r="A6" t="s">
        <v>172</v>
      </c>
      <c r="B6" t="s">
        <v>158</v>
      </c>
      <c r="C6">
        <v>0.5</v>
      </c>
    </row>
    <row r="7" spans="1:3">
      <c r="A7" t="s">
        <v>93</v>
      </c>
      <c r="B7" t="s">
        <v>134</v>
      </c>
      <c r="C7">
        <v>0.01</v>
      </c>
    </row>
    <row r="8" spans="1:3">
      <c r="A8" t="s">
        <v>171</v>
      </c>
      <c r="B8" t="s">
        <v>159</v>
      </c>
      <c r="C8">
        <v>69.342915559511255</v>
      </c>
    </row>
    <row r="9" spans="1:3">
      <c r="A9" t="s">
        <v>173</v>
      </c>
      <c r="B9" t="s">
        <v>160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161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D0A339B4036C47A03FA8F4FFF00EBA" ma:contentTypeVersion="6" ma:contentTypeDescription="Create a new document." ma:contentTypeScope="" ma:versionID="db9a5056e6b08c1cf9dbbb9526281afe">
  <xsd:schema xmlns:xsd="http://www.w3.org/2001/XMLSchema" xmlns:xs="http://www.w3.org/2001/XMLSchema" xmlns:p="http://schemas.microsoft.com/office/2006/metadata/properties" xmlns:ns3="7fc71ab3-498a-4a8d-8735-2d0b3e5b687c" targetNamespace="http://schemas.microsoft.com/office/2006/metadata/properties" ma:root="true" ma:fieldsID="8503a32653c6dcae4210d087ca78abe7" ns3:_="">
    <xsd:import namespace="7fc71ab3-498a-4a8d-8735-2d0b3e5b687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71ab3-498a-4a8d-8735-2d0b3e5b68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828D14-A859-4D2C-8B7E-601BA877A14C}">
  <ds:schemaRefs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7fc71ab3-498a-4a8d-8735-2d0b3e5b687c"/>
  </ds:schemaRefs>
</ds:datastoreItem>
</file>

<file path=customXml/itemProps2.xml><?xml version="1.0" encoding="utf-8"?>
<ds:datastoreItem xmlns:ds="http://schemas.openxmlformats.org/officeDocument/2006/customXml" ds:itemID="{26E535A0-84A6-49EC-ACB1-A0246F4DB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c71ab3-498a-4a8d-8735-2d0b3e5b68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499D72F-75F9-49F8-8D1B-BFC5F5D9B53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4-EW</vt:lpstr>
      <vt:lpstr>4-VW</vt:lpstr>
      <vt:lpstr>5-Variance</vt:lpstr>
      <vt:lpstr>5-Harley</vt:lpstr>
      <vt:lpstr>7-Cov1</vt:lpstr>
      <vt:lpstr>7-Var</vt:lpstr>
      <vt:lpstr>7-Reg1</vt:lpstr>
      <vt:lpstr>7-Reg2</vt:lpstr>
      <vt:lpstr>7-Reg3</vt:lpstr>
      <vt:lpstr>7-Reg4</vt:lpstr>
      <vt:lpstr>7-alpha_beta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Company>Brigham Young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2024-08-19T13:59:46Z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