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配表说明" sheetId="2" r:id="rId2"/>
  </sheets>
  <calcPr calcId="144525"/>
</workbook>
</file>

<file path=xl/sharedStrings.xml><?xml version="1.0" encoding="utf-8"?>
<sst xmlns="http://schemas.openxmlformats.org/spreadsheetml/2006/main" count="622" uniqueCount="315">
  <si>
    <t>MOD</t>
  </si>
  <si>
    <t>Data.WeaponValue</t>
  </si>
  <si>
    <t>BACK_TYPE</t>
  </si>
  <si>
    <t>FRONT_TYPE</t>
  </si>
  <si>
    <t>uint32</t>
  </si>
  <si>
    <t>float</t>
  </si>
  <si>
    <t>DES</t>
  </si>
  <si>
    <t>编号</t>
  </si>
  <si>
    <t>id唯一性</t>
  </si>
  <si>
    <t>武器基类</t>
  </si>
  <si>
    <t>开火模式</t>
  </si>
  <si>
    <t>名称备注</t>
  </si>
  <si>
    <t>狙击开镜散发回复速度</t>
  </si>
  <si>
    <t>落地时散发回复的速度</t>
  </si>
  <si>
    <t>整体散发恢复速度</t>
  </si>
  <si>
    <t>武器基础散发</t>
  </si>
  <si>
    <t>每次开火增加的开火散发</t>
  </si>
  <si>
    <t>开火所能累加的最大散发值</t>
  </si>
  <si>
    <t>站立状态基础散发</t>
  </si>
  <si>
    <t>下蹲状态基础散发</t>
  </si>
  <si>
    <t>梯子状态基础散发</t>
  </si>
  <si>
    <t>落地状态基础散发</t>
  </si>
  <si>
    <t>移动状态基础散发</t>
  </si>
  <si>
    <t>静步状态基础散发</t>
  </si>
  <si>
    <t>跳跃状态基础散发</t>
  </si>
  <si>
    <t>跑步从34%MaxSpeed加速时的基础散发值</t>
  </si>
  <si>
    <t>跑步从34%MaxSpeed到跑步速度最大值的散发变化率</t>
  </si>
  <si>
    <t>跑步运动散发的最大值</t>
  </si>
  <si>
    <t>跑步和静步速度小于34%MaxSpeed时的常量运动散发</t>
  </si>
  <si>
    <t>静步34%MaxSpeed加速时的基础散发值</t>
  </si>
  <si>
    <t>静步34%MaxSpeed到静步速度最大值的散发变化率</t>
  </si>
  <si>
    <t>静步运动散发的最大值</t>
  </si>
  <si>
    <t>跳跃到达最高点的散发（跳跃过程中最高点散发最小）</t>
  </si>
  <si>
    <t>跳跃从最大值（起跳）到最小值（空中最高点）的变化率</t>
  </si>
  <si>
    <t>跳跃运动散发的最大值</t>
  </si>
  <si>
    <t>控制所有曲率的变化，最终曲率的数值要乘以这个系数</t>
  </si>
  <si>
    <t>散发的缩放比例</t>
  </si>
  <si>
    <t>散发所采用的算法1=CS默认算法，2=内格夫散发算法</t>
  </si>
  <si>
    <t>使用的后坐力类型(0扇形随机弹道，1固定弹道，2CF的随机弹道，3上抬弹道</t>
  </si>
  <si>
    <t>循环后坐力坐标，固定后坐力配置读完之后读循环，准心跟后坐力索引共用字段</t>
  </si>
  <si>
    <t>后坐力模型中的后坐力恢复速度，越大回复越快</t>
  </si>
  <si>
    <t>后坐力回复的阻尼系数（弹性系数），越大回复速度的减速越快（回的时间长）</t>
  </si>
  <si>
    <t>CS后坐力模型中,每发子弹的落点，该值为一系列数组，每两个数字为一个坐标点</t>
  </si>
  <si>
    <t>喷子类武器的每发弹道形状，是一个数组，通过编辑器工具生成</t>
  </si>
  <si>
    <t>准星相对于后坐力坐标点每次位移的移动比例，越小开火的抖动越小（只影响镜头）</t>
  </si>
  <si>
    <t>准星随后坐力移动时,最大的移动角度（距离），越小开火的抖动越小（只影响镜头）</t>
  </si>
  <si>
    <t>CS后坐力模型的缩放比例，对FactorX和FactorY二次缩放</t>
  </si>
  <si>
    <t>CSGO后坐力模型中的竖直缩放比例</t>
  </si>
  <si>
    <t>CSGO后坐力模型中的水平缩放比例</t>
  </si>
  <si>
    <t>移动状态下（跑步）的后坐力比例系数</t>
  </si>
  <si>
    <t>静步状态下的后坐力比例系数</t>
  </si>
  <si>
    <t>下蹲状态下的后坐力比例系数</t>
  </si>
  <si>
    <t>扇形后坐力模型中,扇形后坐力半径的最大值(例如沙鹰)</t>
  </si>
  <si>
    <t>扇形后坐力模型中,扇形后坐力半径的最小值(例如沙鹰)</t>
  </si>
  <si>
    <t>扇形后坐力模型中,每次开火增加的半径值，一般不需要填</t>
  </si>
  <si>
    <t>扇形后坐力模型中,半径的回复速度</t>
  </si>
  <si>
    <t>扇形后坐力模式中的扇形角度，限制0-90度，超过为默认45度</t>
  </si>
  <si>
    <t>后坐力模式3中竖直方向后坐力增加的基础值，越小越好</t>
  </si>
  <si>
    <t>后坐力模式3中竖直方向后坐力最大值，越小越好</t>
  </si>
  <si>
    <t>后坐力模式3中竖起方向后坐力每次增加的变化量，越小越好</t>
  </si>
  <si>
    <t>每次开火打出的子弹数，一般武器不填，喷子类武器根据实际效果填</t>
  </si>
  <si>
    <t>三连发武器的三连发开火间隔</t>
  </si>
  <si>
    <t>内格夫开火一段时间后进入最小散发的散发限制</t>
  </si>
  <si>
    <t>内格夫进入散发限制的连发数，连发数递减到低于此连发数时回复正常散发和散发回复逻辑</t>
  </si>
  <si>
    <t>是否使用后坐力组连发数（霰弹枪）</t>
  </si>
  <si>
    <t>内格夫和霰弹枪后坐力组的连发数时间限制，时间内连发数+1，刷新时间，超时连发数逐个递减</t>
  </si>
  <si>
    <t>内格夫和霰弹枪进入散发限制后连发数的最大增加数量，连发数递减时从MAX开始减</t>
  </si>
  <si>
    <t>recoilshake中间幅度倍数</t>
  </si>
  <si>
    <t>recoilshake右边幅度倍数</t>
  </si>
  <si>
    <t>recoilshake左边幅度倍数</t>
  </si>
  <si>
    <t>单位衰减距离</t>
  </si>
  <si>
    <t>单位衰减比例</t>
  </si>
  <si>
    <t>穿透力</t>
  </si>
  <si>
    <t>射速，开火间隔</t>
  </si>
  <si>
    <t>开火动画播放速度</t>
  </si>
  <si>
    <t>开火动作播放间隔</t>
  </si>
  <si>
    <t>开火按钮预输入时间</t>
  </si>
  <si>
    <t>开火消耗子弹数量</t>
  </si>
  <si>
    <t>武器单发子弹的伤害</t>
  </si>
  <si>
    <t>中立伤害系数，击中场景物件的伤害=伤害*系数</t>
  </si>
  <si>
    <t>换弹的子弹增加时间（子弹数已经增加，但动画还没播完）</t>
  </si>
  <si>
    <t>喷子类武器单发装填时间</t>
  </si>
  <si>
    <t>喷子类武器装填后结束动作的时间</t>
  </si>
  <si>
    <t>换弹的逻辑总时间（可开火时间）</t>
  </si>
  <si>
    <t>换弹动画播放速度</t>
  </si>
  <si>
    <t>切枪时间</t>
  </si>
  <si>
    <t>切枪动画播放速度</t>
  </si>
  <si>
    <t>默认弹夹的子弹数量</t>
  </si>
  <si>
    <t>后备弹夹的子弹数量</t>
  </si>
  <si>
    <t>最大允许携带的子弹数量</t>
  </si>
  <si>
    <t>准星类别，普通武器=1，狙击=2，近战武器=3，投掷物=4</t>
  </si>
  <si>
    <t>准星基础大小，整体缩放</t>
  </si>
  <si>
    <t>准星HUD资源的基础间隔</t>
  </si>
  <si>
    <t>准心外圈的扩散系数</t>
  </si>
  <si>
    <t>经典动态准星的内圈扩散系数</t>
  </si>
  <si>
    <t>内圈射击扩散系数</t>
  </si>
  <si>
    <t>内圈总扩散系数</t>
  </si>
  <si>
    <t>外圈射击扩散系数</t>
  </si>
  <si>
    <t>外圈总扩散系数</t>
  </si>
  <si>
    <t>是为单发，否为连发</t>
  </si>
  <si>
    <t>蓄力开火需要的蓄力时间</t>
  </si>
  <si>
    <t>蓄力开火松开的回复速度</t>
  </si>
  <si>
    <t>武器射程，单位为m</t>
  </si>
  <si>
    <t>护甲穿透系数</t>
  </si>
  <si>
    <t>持有该武器时，能到达的最大移动速度</t>
  </si>
  <si>
    <t>NAMES</t>
  </si>
  <si>
    <t>id</t>
  </si>
  <si>
    <t>base_class</t>
  </si>
  <si>
    <t>DecayMirrorOpenSpreadSpeed</t>
  </si>
  <si>
    <t>DecaySpradLandValueSpeed</t>
  </si>
  <si>
    <t>DecaySpreadSpeed</t>
  </si>
  <si>
    <t>DisperseBase</t>
  </si>
  <si>
    <t>InaccuracyFire</t>
  </si>
  <si>
    <t>InaccuracyFireMax</t>
  </si>
  <si>
    <t>InaccuracyStand</t>
  </si>
  <si>
    <t>InaccuracyCrouch</t>
  </si>
  <si>
    <t>InaccuracyLadder</t>
  </si>
  <si>
    <t>InaccuracyLand</t>
  </si>
  <si>
    <t>InaccuracyMove</t>
  </si>
  <si>
    <t>InaccuracySlientStep</t>
  </si>
  <si>
    <t>InaccuracyJump</t>
  </si>
  <si>
    <t>InaccuracyMoveInitValue</t>
  </si>
  <si>
    <t>InaccuracyVelocityMove</t>
  </si>
  <si>
    <t>InaccuracyVelocityMoveMax</t>
  </si>
  <si>
    <t>InaccuracyVelocityMoveMin</t>
  </si>
  <si>
    <t>InaccuracySlientStepInitValue</t>
  </si>
  <si>
    <t>InaccuracyVelocitySlientStep</t>
  </si>
  <si>
    <t>InaccuracyVelocitySlientStepMax</t>
  </si>
  <si>
    <t>InaccuracyJumpInitValue</t>
  </si>
  <si>
    <t>InaccuracyVelocityJump</t>
  </si>
  <si>
    <t>InaccuracyVelocityJumpMax</t>
  </si>
  <si>
    <t>InaccuracyVelocityBase</t>
  </si>
  <si>
    <t>Spread</t>
  </si>
  <si>
    <t>SpreadType</t>
  </si>
  <si>
    <t>RecoilType</t>
  </si>
  <si>
    <t>RecycleRecoilIndex</t>
  </si>
  <si>
    <t>PunchAngleRecoverySpeed</t>
  </si>
  <si>
    <t>PunchAngleDumping</t>
  </si>
  <si>
    <t>PunchAngle</t>
  </si>
  <si>
    <t>OffSetAngle</t>
  </si>
  <si>
    <t>CrosshairMoveByPunchAngle</t>
  </si>
  <si>
    <t>CrosshairMaxDistance</t>
  </si>
  <si>
    <t>PunchAngleZoomFactor</t>
  </si>
  <si>
    <t>PunchAngleZoomFactorX</t>
  </si>
  <si>
    <t>PunchAngleZoomFactorY</t>
  </si>
  <si>
    <t>PunchAngleZoomFactorMove</t>
  </si>
  <si>
    <t>PunchAngleZoomFactorSlientStep</t>
  </si>
  <si>
    <t>PunchAngleZoomFactorCrouch</t>
  </si>
  <si>
    <t>PunchAngleRadiusMax</t>
  </si>
  <si>
    <t>PunchAngleRadiusMin</t>
  </si>
  <si>
    <t>PunchAngleRadiusPer</t>
  </si>
  <si>
    <t>PunchAngleRadiusDecaySpeed</t>
  </si>
  <si>
    <t>SectorRecoilAngle</t>
  </si>
  <si>
    <t>RecoilUpBase</t>
  </si>
  <si>
    <t>RecoilUpMax</t>
  </si>
  <si>
    <t>RecoilUpModifier</t>
  </si>
  <si>
    <t>OneShotBulletCount</t>
  </si>
  <si>
    <t>TripleFireInterval</t>
  </si>
  <si>
    <t>InaccuracyFireMin</t>
  </si>
  <si>
    <t>InaccuracyFireLimitCount</t>
  </si>
  <si>
    <t>IsContinueFireCount</t>
  </si>
  <si>
    <t>FireContinueInternel</t>
  </si>
  <si>
    <t>FireContinueMax</t>
  </si>
  <si>
    <t>MiddleAngleEnhancementRatio</t>
  </si>
  <si>
    <t>RightAngleEnhancementRatio</t>
  </si>
  <si>
    <t>LeftAngleEnhancementRatio</t>
  </si>
  <si>
    <t>AttenuationDistance</t>
  </si>
  <si>
    <t>AttenuationPercent</t>
  </si>
  <si>
    <t>PenetrationMaterialValue</t>
  </si>
  <si>
    <t>FireInterval</t>
  </si>
  <si>
    <t>FireAnimRate</t>
  </si>
  <si>
    <t>FireAnimInterval</t>
  </si>
  <si>
    <t>FirePreInputTime</t>
  </si>
  <si>
    <t>ShotCost</t>
  </si>
  <si>
    <t>Damage</t>
  </si>
  <si>
    <t>InteractDamageScale</t>
  </si>
  <si>
    <t>ChangeClipTime</t>
  </si>
  <si>
    <t>ChangeClipLoopTime</t>
  </si>
  <si>
    <t>ChangeClipLoopTotalTime</t>
  </si>
  <si>
    <t>ChangeClipStateTotalTime</t>
  </si>
  <si>
    <t>ChangeClipAnimRate</t>
  </si>
  <si>
    <t>EquipTime</t>
  </si>
  <si>
    <t>EquipAnimRate</t>
  </si>
  <si>
    <t>ClipAmmoCount</t>
  </si>
  <si>
    <t>CarriedAmmoCount</t>
  </si>
  <si>
    <t>MaxAmmoCount</t>
  </si>
  <si>
    <t>CrosshairType</t>
  </si>
  <si>
    <t>CrosshairBaseDiff</t>
  </si>
  <si>
    <t>CrossHairBaseHudIntervel</t>
  </si>
  <si>
    <t>CrossHairOutAmplify</t>
  </si>
  <si>
    <t>CrossHairCSDymaicInAmplify</t>
  </si>
  <si>
    <t>CrossHairShotInSpread</t>
  </si>
  <si>
    <t>CrossHairTotalInSpread</t>
  </si>
  <si>
    <t>CrossHairShotOutSpread</t>
  </si>
  <si>
    <t>CrossHairTotalOutSpread</t>
  </si>
  <si>
    <t>IsSingleShot</t>
  </si>
  <si>
    <t>AccumulateNeedTime</t>
  </si>
  <si>
    <t>StaleSpeed</t>
  </si>
  <si>
    <t>WeaponRange</t>
  </si>
  <si>
    <t>DamageArmorScale</t>
  </si>
  <si>
    <t>WeaponMaxMoveSpeed</t>
  </si>
  <si>
    <t>ENUM</t>
  </si>
  <si>
    <t>否|是</t>
  </si>
  <si>
    <t>REF</t>
  </si>
  <si>
    <t>VALUE</t>
  </si>
  <si>
    <t>唯一</t>
  </si>
  <si>
    <t>Pistol250</t>
  </si>
  <si>
    <t>1.0,1.0,1.0,1.0,1.0,1.0,1.0,1.0,1.0,1.0,1.0,1.0,1.0</t>
  </si>
  <si>
    <t>否</t>
  </si>
  <si>
    <t>是</t>
  </si>
  <si>
    <t>USP</t>
  </si>
  <si>
    <t>12.;7</t>
  </si>
  <si>
    <t>SawedOff</t>
  </si>
  <si>
    <t>-124.0,44.0,-76.0,70.0,65.0,79.0,1.0,25.0,-32.0,7.0,16.0,-8.0,-53.0,-65.0,50.0,-40.0,-124.0,44.0,-76.0,70.0,65.0,79.0,1.0,25.0,-32.0,7.0,16.0,-8.0,-53.0,-65.0,50.0,-40.0,24.0,103.0,86.0,86.0,-68.0,-10.0,-40.0,-38.0,-6.0,7.0,-4.0,-20.0,20.0,-36.0,66.0,-74.0,-115.0,50.0,-79.0,45.0,9.0,43.0,-31.0,6.0,81.0,5.0,-5.0,-14.0,-17.0,-56.0,24.0,-109.0,-118.0,49.0,-82.0,49.0,6.0,39.0,80.0,10.0,-28.0,3.0,-4.0,-7.0,-18.0,-55.0,24.0,-105.0,-115.0,49.0,-80.0,47.0,4.0,39.0,-28.0,3.0,82.0,8.0,-3.0,-8.0,-16.0,-60.0,22.0,-108.0,30.0,130.0,-60.0,29.0,-32.0,19.0,16.0,17.0,7.0,-11.0,38.0,-49.0,91.0,-16.0,104.0,-6.0</t>
  </si>
  <si>
    <t>1.0,1.0,1.0,1.0,1.0,1.0,1.0</t>
  </si>
  <si>
    <t>CZAuto</t>
  </si>
  <si>
    <t>7.0,10.0,52.0,29.0,38.0,83.0,-26.0,86.0,-80.0,137.0,-18.0,194.0,36.0,243.0,109.0,264.0,58.0,311.0,93.0,361.0,104.0,396.0</t>
  </si>
  <si>
    <t>1.0,1.0,1.0,1.0,1.0,1.0,1.0,1.0,1.0,1.0,1.0,1.0</t>
  </si>
  <si>
    <t>Eagle</t>
  </si>
  <si>
    <t>Nova</t>
  </si>
  <si>
    <t>-8.0,58.0,23.0,39.0,-2.0,8.0,-5.0,-6.0,-34.0,0.0,-8.0,-28.0,-54.0,-2.0,-79.0,-24.0,-21.0,-63.0,-68.0,24.0,-41.0,56.0,18.0,47.0,1.0,-10.0,1.0,-1.0,18.0,14.0,38.0,10.0,-47.0,-6.0,55.0,-53.0,2.0,65.0,-19.0,41.0,-11.0,32.0,-53.0,11.0,14.0,18.0,1.0,1.0,-11.0,-13.0,-60.0,-49.0,44.0,-54.0,-37.0,79.0,-65.0,16.0,-49.0,20.0,-10.0,18.0,5.0,1.0,23.0,-7.0,29.0,21.0,-36.0,-13.0,36.0,-65.0,-38.0,75.0,-64.0,13.0,-52.0,18.0,-11.0,16.0,5.0,3.0,23.0,-11.0,30.0,19.0,-36.0,-10.0,34.0,-67.0,-49.0,27.0,-43.0,1.0,38.0,62.0,20.0,37.0,0.0,18.0,-19.0,-11.0,-2.0,4.0,-11.0,-57.0,-34.0,-71.0,32.0,52.0,-49.0,42.0,7.0,18.0,6.0,10.0,-21.0,-2.0,-22.0,-17.0,-22.0,-30.0,-64.0,-51.0,-11.0,-74.0,27.0,39.0,7.0,22.0,27.0,22.0,48.0,20.0,76.0,18.0,4.0,6.0,11.0,-10.0,-57.0,5.0,4.0,-80.0</t>
  </si>
  <si>
    <t>1.0,1.0,1.0,1.0,1.0,1.0,1.0,1.0</t>
  </si>
  <si>
    <t>Origin12</t>
  </si>
  <si>
    <t>-2.0,16.0,-10.0,66.0,1.0,89.0,16.0,106.0,-12.0,144.0,-12.0,196.0</t>
  </si>
  <si>
    <t>0.0,26.0,-37.0,15.0,8.0,12.0,-51.0,-33.0,2.0,-40.0,51.0,-52.0,-28.0,18.0,18.0,22.0,5.0,-4.0,35.0,-27.0,64.0,-52.0,-2.0,-66.0,-58.0,20.0,-15.0,22.0,0.0,0.0,7.0,-28.0,15.0,-48.0,-4.0,-68.0,-17.0,53.0,-7.0,29.0,-43.0,14.0,-16.0,-6.0,0.0,-1.0,-3.0,-80.0,-61.0,-6.0,-27.0,-6.0,8.0,0.0,-2.0,-18.0,-71.0,-36.0,46.0,-26.0,-51.0,53.0,-19.0,39.0,-36.0,-3.0,-13.0,5.0,9.0,-7.0,-26.0,-59.0,16.0,26.0,10.0,10.0,-7.0,-4.0,59.0,26.0,64.0,-2.0,39.0,-31.0</t>
  </si>
  <si>
    <t>3.0,2.5,2.0,1.5,1.25,1.1,1.0</t>
  </si>
  <si>
    <t>Vector</t>
  </si>
  <si>
    <t>4.0,13.0,10.0,29.0,14.0,65.0,22.0,110.0,42.0,158.0,47.0,213.0,27.0,250.0,35.0,274.0,15.0,304.0,-20.0,322.0,-52.0,333.0,-54.0,348.0,-60.0,351.0,-65.0,362.0,-82.0,356.0,-92.0,349.0,-59.0,363.0,-26.0,365.0,-37.0,348.0,-59.0,347.0,-82.0,347.0,-78.0,358.0,-52.0,348.0,-26.0,348.0,-15.0,368.0,-46.0,368.0,-67.0,350.0,-95.0,340.0,-89.0,365.0</t>
  </si>
  <si>
    <t>1.0,1.0,1.0,1.0,1.0,1.0,1.0,1.0,1.0,1.0,1.0,1.0,1.0,1.0,1.0,1.0,1.0,1.0,1.0,1.0,1.0,1.0,1.0,1.0,1.0,1.0,1.0,1.0,1.0,1.0</t>
  </si>
  <si>
    <t>MP5</t>
  </si>
  <si>
    <t>-3.0,8.0,0.0,16.0,7.0,21.0,22.0,44.0,41.0,73.0,40.0,109.0,62.0,136.0,65.0,163.0,88.0,168.0,99.0,175.0,78.0,191.0,36.0,202.0,-1.0,203.0,-31.0,204.0,-37.0,214.0,-23.0,226.0,-18.0,229.0,-19.0,234.0,-11.0,234.0,-15.0,240.0,-12.0,247.0,16.0,239.0,56.0,219.0,62.0,219.0,82.0,218.0,83.0,210.0,89.0,212.0,92.0,215.0,98.0,216.0,81.0,230.0,39.0,229.0,6.0,245.0,0.0,255.0,-17.0,259.0,-15.0,245.0</t>
  </si>
  <si>
    <t>P90</t>
  </si>
  <si>
    <t>5.0,5.0,7.0,12.0,5.0,25.0,10.0,44.0,31.0,79.0,57.0,105.0,77.0,141.0,60.0,170.0,40.0,201.0,33.0,225.0,32.0,250.0,36.0,262.0,60.0,264.0,73.0,267.0,85.0,274.0,109.0,277.0,86.0,279.0,47.0,279.0,25.0,284.0,5.0,288.0,-24.0,284.0,-51.0,280.0,-43.0,278.0,-20.0,289.0,3.0,281.0,49.0,267.0,49.0,271.0,38.0,281.0,51.0,286.0,58.0,295.0,50.0,300.0,12.0,301.0,-6.0,304.0,4.0,307.0,10.0,307.0,29.0,301.0,53.0,292.0,45.0,297.0,26.0,296.0,-13.0,292.0,-33.0,286.0,-57.0,283.0,-88.0,277.0,-108.0,279.0,-123.0,278.0,-134.0,271.0,-129.0,274.0,-92.0,280.0,-97.0,282.0,-73.0,279.0,-56.0,291.0,-34.0,297.0,-14.0,299.0,8.0,296.0,2.0,309.0,-24.0,306.0,-47.0,300.0,-74.0,288.0,-90.0,280.0</t>
  </si>
  <si>
    <t>0,03</t>
  </si>
  <si>
    <t>M4</t>
  </si>
  <si>
    <t>-4.0,7.0,-2.0,27.0,8.0,64.0,-2.0,115.0,16.0,165.0,21.0,215.0,-11.0,245.0,-32.0,275.0,-75.0,284.0,-62.0,304.0,-34.0,319.0,35.0314.0,81.0,302.0,130.0,282.0,134.0,294.0,119.0,320.0,140.0,316.0,168.0,303.0,164.0,316.0,97.0,315.0,73.0,322.0,13.0,322.0,-5.0,337.0,-29.0,344.0,-7.0,353.0,-15.0,351.0,-22.0,354.0,-28.0,359.0,-42.0,363.0,32.0,339.0,78.0,329.0,103.0,324.0,112.0,300.0,124.0,317.0,152.0,323.0</t>
  </si>
  <si>
    <t>AKM</t>
  </si>
  <si>
    <t>7.0,14.0,2.0,46.0,1.0,101.0,12.0,173.0,-12.0,231.0,-30.0,295.0,-63.0,332.0,-25.0,366.0,64.0,350.0,110.0,369.0,85.0,396.0,115.0,399.0,166.0,388.0,173.0,392.0,98.0,400.0,51.0,413.0,21.0,425.0,-27.0,431.0,-104.0,393.0,-67.0,402.0,-74.0,406.0,-57.0,424.0,-33.0,436.0,-79.0,415.0,-87.0,423.0,-46.0,443.0,21.0,436.0,109.0,392.0,141.0,381.0,129.0,396.0,103.0,387.0,77.0,407.0,61.0,394.0,91.0,378.0,115.0,378.0</t>
  </si>
  <si>
    <t>QBZ</t>
  </si>
  <si>
    <t>7.0,7.0,8.0,11.0,20.0,36.0,21.0,71.0,21.0,115.0,-7.0,154.0,-39.0,178.0,-25.0,202.0,14.0,220.0,48.0,230.0,77.0,236.0,64.0,247.0,16.0,254.0,-5.0,267.0,-48.0,260.0,-64.0,260.0,-87.0,263.0,-98.0,271.0,-88.0,277.0,-36.0,274.0,-30.0,281.0,-54.0,279.0,-79.0,269.0,-115.0,242.0,-77.0,239.0,-38.0,245.0,-15.0,261.0,4.0,249.0,39.0,258.0</t>
  </si>
  <si>
    <t>QBZ-2nd</t>
  </si>
  <si>
    <t>1.0,1.0,1.0</t>
  </si>
  <si>
    <t>ScarL</t>
  </si>
  <si>
    <t>-5.0,10.0,-1.0,17.0,-14.0,38.0,-37.0,67.0,-37.0,113.0,-41.0,164.0,-55.0,200.0,-78.0,217.0,-69.0,245.0,-21.0,267.0,40.0,258.0,99.0,236.0,120.0,248.0,143.0,251.0,149.0,254.0,159.0,255.0,149.0,274.0,95.0,286.0,68.0,297.0,15.0,288.0,-46.0,271.0,-54.0,275.0,-34.0,284.0,-60.0,279.0,-85.0,284.0,-120.0,277.0,-95.0,281.0,-27.0,265.0,21.0,259.0,50.0,274.0,37.0,290.0,68.0,281.0,116.0,252.0,143.0,251.0,128.0,267.0,94.0,255.0,70.0,265.0,33.0,273.0,-12.0,252.0,-45.0,260.0,-74.0,276.0</t>
  </si>
  <si>
    <t>0..675</t>
  </si>
  <si>
    <t>AUG</t>
  </si>
  <si>
    <t>-6.0,9.0,-4.0,29.0,1.0,61.0,14.0,104.0,2.0,162.0,-11.0,205.0,-34.0,237.0,-46.0,263.0,-68.0,277.0,-36.0,297.0,-27.0,305.0,-60.0,303.0,-52.0,311.0,-12.0,313.0,55.0,300.0,109.0,279.0,103.0,286.0,106.0,292.0,124.0,295.0,76.0,308.0,13.0,311.0,0.0,309.0,13.0,308.0,-20.0,309.0,-71.0,304.0,-102.0,298.0,-68.0,302.0,-29.0,301.0,-19.0,310.0,-5.0,300.0,19.0,288.0,35.0,295.0,68.0,302.0,81.0,294.0,107.0,AJ12300.0</t>
  </si>
  <si>
    <t>AUG-2nd</t>
  </si>
  <si>
    <t>-6.0,9.0,-4.0,29.0,1.0,61.0,14.0,104.0,2.0,162.0,-11.0,205.0,-34.0,237.0,-46.0,263.0,-68.0,277.0,-36.0,297.0,-27.0,305.0,-60.0,303.0,-52.0,311.0,-12.0,313.0,55.0,300.0,109.0,279.0,103.0,286.0,106.0,292.0,124.0,295.0,76.0,308.0,13.0,311.0,0.0,309.0,13.0,308.0,-20.0,309.0,-71.0,304.0,-102.0,298.0,-68.0,302.0,-29.0,301.0,-19.0,310.0,-5.0,300.0,19.0,288.0,35.0,295.0,68.0,302.0,81.0,294.0,107.0,300.0</t>
  </si>
  <si>
    <t>Negev</t>
  </si>
  <si>
    <t>-2.0,17.0,0.0,35.0,3.0,61.0,1.0,105.0,4.0,153.0,-2.0,204.0,3.0,247.0,0.0,283.0,0.0,312.0,3.0,338.0,2.0,361.0,0.0,388.0</t>
  </si>
  <si>
    <t>M249</t>
  </si>
  <si>
    <t>10.0,8.0,29.0,33.0,53.0,76.0,91.0,131.0,124.0,182.0,108.0,240.0,60.0,285.0,2.0,323.0,-45.0,350.0,-71.0,372.0,-85.0,401.0,-45.0,422.0,-46.0,440.0,-63.0,459.0,-79.0,472.0,-98.0,482.0,-91.0,483.0,-87.0,484.0,-51.0,477.0,9.0,474.0,26.0,479.0,46.0,484.0,85.0,481.0,127.0,480.0,137.0,485.0,134.0,477.0,26.0,465.0,13.0,460.0,15.0,469.0,1.0,458.0,-65.0,461.0,-82.0,467.0,-60.0,475.0,-2.0,479.0,-20.0,482.0,-11.0,481.0,16.0,478.0,54.0,486.0,31.0,496.0,-5.0,505.0,-31.0,515.0,2.0,504.0,-18.0,500.0,-77.0,482.0,-98.0,470.0,-87.0,490.0,-74.0,495.0,-56.0,511.0,3.0,503.0,46.0,473.0,13.0,458.0,-6.0,465.0,-27.0,457.0,-52.0,463.0,-34.0,486.0,-29.0,495.0,-75.0,492.0,-117.0,471.0,-120.0,483.0,-96.0,468.0,-99.0,470.0,-112.0,468.0,-114.0,484.0,-99.0,495.0,-48.0,449.0,26.0,415.0,75.0,379.0,113.0,345.0,146.0,334.0,113.0,346.0,55.0,365.0,-1.0,385.0,-49.0,400.0,-75.0,420.0,-91.0,442.0,-56.0,441.0,-57.0,445.0,-64.0,448.0,-80.0,480.0,-95.0,480.0,-111.0,482.0,-101.0,496.0,-56.0,496.0,8.0,468.0,16.0,460.0,32.0,480.0,84.0,471.0,114.0,484.0,123.0,479.0,113.0,475.0,40.0,463.0,14.0,458.0,8.0,463.0,-2.0,459.0,-47.0,449.0,-55.0,457.0,-35.0,466.0,-28.0,474.0,-38.0,475.0</t>
  </si>
  <si>
    <t>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1.0,</t>
  </si>
  <si>
    <t>M18LR</t>
  </si>
  <si>
    <t>M18LR-2nd</t>
  </si>
  <si>
    <t>AWM</t>
  </si>
  <si>
    <t>AWM-2nd</t>
  </si>
  <si>
    <t>内格夫进入散发限制后连发数的最大增加数量，连发数递减时从MAX开始减</t>
  </si>
  <si>
    <t>true为单发，false为连发</t>
  </si>
  <si>
    <t>OffSetAngleList</t>
  </si>
  <si>
    <t>FALSE|TRUE</t>
  </si>
  <si>
    <t>Data.Weapon</t>
  </si>
  <si>
    <t>基类加第1/2开火模式的编号</t>
  </si>
  <si>
    <t>有的武器有两个开火模式，常规状态下为第一开火模式，可以切换为第二开火模式</t>
  </si>
  <si>
    <t>开镜步枪（AUG）不配，从第1开火模式转换到第2开火模式的散发变化（开镜）</t>
  </si>
  <si>
    <t>所有武器暂时用的同一个值，越大回复越快，武器稳定性越高</t>
  </si>
  <si>
    <t>步枪为10倍单发InaccuracyFire的1/2，机枪特殊比例1.25</t>
  </si>
  <si>
    <t>CS文件items_game.txt具体weapon_XXX_pre</t>
  </si>
  <si>
    <t>步枪，冲锋枪Fire*3，机枪Fire*5，三连发为Fire*2，霰弹枪Fire*1=Max=站立开火max/2，XM1014Fire*2=Max</t>
  </si>
  <si>
    <t>下蹲和站立的散发根据CS散发圈测算</t>
  </si>
  <si>
    <t>跑和走都是站立状态所以一样</t>
  </si>
  <si>
    <t>跳跃状态散发为跳跃总散发的40%，跳跃运动散发占60%</t>
  </si>
  <si>
    <t>跑步分段函数的起点</t>
  </si>
  <si>
    <t>该值的计算方法为（MaxSpeed.Move-SlowSpeed）/SlowSpeed，SlowSpeed=0.34MaxSpeed,MaxSpeed.Move一般为0.95MaxSpeed，起步散发和最大散发差值除以此值</t>
  </si>
  <si>
    <t>CS散发圈测算-状态散发</t>
  </si>
  <si>
    <t>下蹲无运动散发和模拟急停效果</t>
  </si>
  <si>
    <t>静步分段函数的起点</t>
  </si>
  <si>
    <t>该值的计算方法为（MaxSpeed.SlientStep-SlowSpeed）/SlowSpeed，SlowSpeed=0.34MaxSpeed，起步散发和最大散发差值除以此值</t>
  </si>
  <si>
    <t>设定最高点散发为1/3MAX</t>
  </si>
  <si>
    <t>跳跃速度为7.5m/s</t>
  </si>
  <si>
    <t>跳跃的运动散发占总跳跃时散发的60%</t>
  </si>
  <si>
    <t>内格夫散发算法时，启用连发数InaccuracyFireLimitCount触发最小散发InaccuracyFireMin，连发数回复FireContinueInternel为连发数逐个时间减少的，连发数时间开火则+1并刷新时间，直到FireContinueMax连发数不再增加</t>
  </si>
  <si>
    <t>步枪默认都用1，用4会压缩后坐力图形，不太适用于CSGO，上抬弹道的单发枪用3，沙鹰用0，2暂时弃用</t>
  </si>
  <si>
    <t>第 X 组坐标之后用来循环</t>
  </si>
  <si>
    <t>默认值，不建议修改</t>
  </si>
  <si>
    <t>默认值，不建议修改，越小越快但是太小会不正常</t>
  </si>
  <si>
    <t>该数组通过编辑器工具生成</t>
  </si>
  <si>
    <t>数组，现在默认都是1，跟着后坐力，CSGO是0.5（准星到弹孔的一半位置）</t>
  </si>
  <si>
    <t>步枪默认0.5，手枪待定</t>
  </si>
  <si>
    <t>默认为0，不修改</t>
  </si>
  <si>
    <t>RecoilType=0时启用</t>
  </si>
  <si>
    <t>RecoilType=3时启用</t>
  </si>
  <si>
    <t>三连发武器就是3，霰弹枪是一枪有多少个子弹飞出</t>
  </si>
  <si>
    <t>三连发加起来间隔时间不能比开火间隔长</t>
  </si>
  <si>
    <t>SpreadType=2启用，内格夫用</t>
  </si>
  <si>
    <t>仅霰弹枪后坐力组启用，如果启用则在OffSetAngleList中按连发数读取后坐力组，连发数连发数回复FireContinueInternel为连发数逐个时间减少的，连发数时间开火则+1并刷新时间，直到FireContinueMax连发数不再增</t>
  </si>
  <si>
    <t>SpreadType=2启用，霰弹枪FireInterval+0.5，内格夫是全自动间隔短FireInterval+0.15</t>
  </si>
  <si>
    <t>SpreadType=2启用，FireContinueMax&gt;InaccuracyFireLimitCount</t>
  </si>
  <si>
    <t>默认都是1，需要上抬镜头震动大的枪单独调</t>
  </si>
  <si>
    <t>默认值，不建议修改，配1为不改变动画播放速度</t>
  </si>
  <si>
    <t>默认值，不建议修改，配0直接用开火间隔</t>
  </si>
  <si>
    <t>默认值，不建议修改，开火间隔允许开火前多长时间的输入是有效的</t>
  </si>
  <si>
    <t>如果是霰弹枪，此值为ChangeClipStart的时间，子弹数已经增加，但动画还没播完，也无法进行开火，但可以进行打断切枪操作，并保留换弹后的子弹数</t>
  </si>
  <si>
    <t>仅霰弹枪启用，此值为ChangeClipLoop的时间，Loop音效在Loop开始时播</t>
  </si>
  <si>
    <t>仅霰弹枪启用，此值为ChangeClipEnd的时间</t>
  </si>
  <si>
    <t>如果是霰弹枪，此值为最后一次ChangeClipLoop后延迟多久播End音效的时间</t>
  </si>
  <si>
    <t>Assets\Scripts\HUD\View\Crosshair\CrossHair_Classical.cs</t>
  </si>
  <si>
    <t>默认不改，可针对特殊武器调整</t>
  </si>
  <si>
    <t>默认不改，可针对特殊武器调整，var outNum = m_Interval * (1 + crossHairHudInfos.m_OutSpread) * crossHairHudInfos.m_BaseDiff * crossHairHudInfos.m_OutAmplify</t>
  </si>
  <si>
    <t>默认不改，可针对特殊武器调整，var inNum  = m_Interval * (1 + crossHairHudInfos.m_InSpread * crossHairHudInfos.m_CSDymaicInAmplify) * crossHairHudInfos.m_BaseDiff</t>
  </si>
  <si>
    <t>R8专用，0.2</t>
  </si>
  <si>
    <t>R8专用，填 1 表示按蓄力时间所需要的速度回复</t>
  </si>
  <si>
    <t>公式Damage=子弹基础伤害*距离衰减*穿透衰减*伤害部位倍率*(armor ratio/2)</t>
  </si>
  <si>
    <t>持有该武器时，能到达的最大移动速度，m/s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</si>
</sst>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_ "/>
    <numFmt numFmtId="178" formatCode="0.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303030"/>
      <name val="微软雅黑"/>
      <charset val="134"/>
    </font>
    <font>
      <sz val="11"/>
      <color rgb="FFFF0000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2" borderId="3" xfId="18" applyFont="1" applyFill="1" applyBorder="1" applyAlignment="1">
      <alignment horizontal="center" vertical="center" wrapText="1"/>
    </xf>
    <xf numFmtId="0" fontId="2" fillId="3" borderId="3" xfId="18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3" fillId="0" borderId="0" xfId="18" applyNumberFormat="1" applyFont="1" applyBorder="1" applyAlignment="1">
      <alignment horizontal="center"/>
    </xf>
    <xf numFmtId="176" fontId="4" fillId="4" borderId="0" xfId="0" applyNumberFormat="1" applyFont="1" applyFill="1" applyAlignment="1">
      <alignment horizontal="center" vertical="top" wrapText="1"/>
    </xf>
    <xf numFmtId="176" fontId="5" fillId="4" borderId="0" xfId="0" applyNumberFormat="1" applyFont="1" applyFill="1" applyAlignment="1">
      <alignment horizontal="center" vertical="top" wrapText="1"/>
    </xf>
    <xf numFmtId="177" fontId="4" fillId="4" borderId="0" xfId="0" applyNumberFormat="1" applyFont="1" applyFill="1" applyAlignment="1">
      <alignment horizontal="center" vertical="top" wrapText="1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8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8" fontId="1" fillId="5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179" fontId="1" fillId="7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 quotePrefix="1">
      <alignment horizontal="center" vertical="center"/>
    </xf>
    <xf numFmtId="0" fontId="1" fillId="5" borderId="0" xfId="0" applyFont="1" applyFill="1" applyBorder="1" applyAlignment="1" quotePrefix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104"/>
  <sheetViews>
    <sheetView tabSelected="1" zoomScale="70" zoomScaleNormal="70" workbookViewId="0">
      <pane xSplit="6" ySplit="5" topLeftCell="AL6" activePane="bottomRight" state="frozen"/>
      <selection/>
      <selection pane="topRight"/>
      <selection pane="bottomLeft"/>
      <selection pane="bottomRight" activeCell="AS35" sqref="AS35"/>
    </sheetView>
  </sheetViews>
  <sheetFormatPr defaultColWidth="9" defaultRowHeight="16.5"/>
  <cols>
    <col min="1" max="1" width="13.375" style="3" customWidth="1"/>
    <col min="2" max="2" width="19.625" style="4" customWidth="1"/>
    <col min="3" max="3" width="10.875" style="4" customWidth="1"/>
    <col min="4" max="4" width="14" style="4" customWidth="1"/>
    <col min="5" max="5" width="10.875" style="4" customWidth="1"/>
    <col min="6" max="6" width="11.625" style="5" customWidth="1"/>
    <col min="7" max="32" width="13.125" style="6" customWidth="1"/>
    <col min="33" max="38" width="13.125" style="5" customWidth="1"/>
    <col min="39" max="39" width="61.7833333333333" style="5" customWidth="1"/>
    <col min="40" max="93" width="13.125" style="5" customWidth="1"/>
    <col min="94" max="94" width="13.125" style="4" customWidth="1"/>
    <col min="95" max="105" width="13.125" style="5" customWidth="1"/>
    <col min="106" max="16384" width="9" style="5"/>
  </cols>
  <sheetData>
    <row r="1" s="1" customFormat="1" spans="1:99">
      <c r="A1" s="7" t="s">
        <v>0</v>
      </c>
      <c r="B1" s="7" t="s">
        <v>1</v>
      </c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33"/>
      <c r="CQ1" s="28"/>
      <c r="CR1" s="28"/>
      <c r="CS1" s="34"/>
      <c r="CT1" s="34"/>
      <c r="CU1" s="34"/>
    </row>
    <row r="2" s="1" customFormat="1" spans="1:99">
      <c r="A2" s="9" t="s">
        <v>2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35"/>
      <c r="CQ2" s="29"/>
      <c r="CR2" s="29"/>
      <c r="CS2" s="36"/>
      <c r="CT2" s="36"/>
      <c r="CU2" s="36"/>
    </row>
    <row r="3" s="1" customFormat="1" spans="1:99">
      <c r="A3" s="9" t="s">
        <v>3</v>
      </c>
      <c r="B3" s="9" t="s">
        <v>4</v>
      </c>
      <c r="C3" s="9"/>
      <c r="D3" s="9" t="s">
        <v>4</v>
      </c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35"/>
      <c r="CQ3" s="29" t="s">
        <v>4</v>
      </c>
      <c r="CR3" s="29" t="s">
        <v>4</v>
      </c>
      <c r="CS3" s="36" t="s">
        <v>5</v>
      </c>
      <c r="CT3" s="36" t="s">
        <v>5</v>
      </c>
      <c r="CU3" s="36" t="s">
        <v>5</v>
      </c>
    </row>
    <row r="4" s="2" customFormat="1" ht="115.5" spans="1:99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  <c r="M4" s="12" t="s">
        <v>18</v>
      </c>
      <c r="N4" s="12" t="s">
        <v>19</v>
      </c>
      <c r="O4" s="12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12" t="s">
        <v>25</v>
      </c>
      <c r="U4" s="12" t="s">
        <v>26</v>
      </c>
      <c r="V4" s="12" t="s">
        <v>27</v>
      </c>
      <c r="W4" s="12" t="s">
        <v>28</v>
      </c>
      <c r="X4" s="12" t="s">
        <v>29</v>
      </c>
      <c r="Y4" s="12" t="s">
        <v>30</v>
      </c>
      <c r="Z4" s="12" t="s">
        <v>31</v>
      </c>
      <c r="AA4" s="12" t="s">
        <v>32</v>
      </c>
      <c r="AB4" s="12" t="s">
        <v>33</v>
      </c>
      <c r="AC4" s="12" t="s">
        <v>34</v>
      </c>
      <c r="AD4" s="12" t="s">
        <v>35</v>
      </c>
      <c r="AE4" s="12" t="s">
        <v>36</v>
      </c>
      <c r="AF4" s="12" t="s">
        <v>37</v>
      </c>
      <c r="AG4" s="24" t="s">
        <v>38</v>
      </c>
      <c r="AH4" s="24" t="s">
        <v>39</v>
      </c>
      <c r="AI4" s="24" t="s">
        <v>40</v>
      </c>
      <c r="AJ4" s="24" t="s">
        <v>41</v>
      </c>
      <c r="AK4" s="24" t="s">
        <v>42</v>
      </c>
      <c r="AL4" s="24" t="s">
        <v>43</v>
      </c>
      <c r="AM4" s="24" t="s">
        <v>44</v>
      </c>
      <c r="AN4" s="24" t="s">
        <v>45</v>
      </c>
      <c r="AO4" s="24" t="s">
        <v>46</v>
      </c>
      <c r="AP4" s="24" t="s">
        <v>47</v>
      </c>
      <c r="AQ4" s="24" t="s">
        <v>48</v>
      </c>
      <c r="AR4" s="24" t="s">
        <v>49</v>
      </c>
      <c r="AS4" s="24" t="s">
        <v>50</v>
      </c>
      <c r="AT4" s="24" t="s">
        <v>51</v>
      </c>
      <c r="AU4" s="24" t="s">
        <v>52</v>
      </c>
      <c r="AV4" s="24" t="s">
        <v>53</v>
      </c>
      <c r="AW4" s="24" t="s">
        <v>54</v>
      </c>
      <c r="AX4" s="24" t="s">
        <v>55</v>
      </c>
      <c r="AY4" s="24" t="s">
        <v>56</v>
      </c>
      <c r="AZ4" s="24" t="s">
        <v>57</v>
      </c>
      <c r="BA4" s="24" t="s">
        <v>58</v>
      </c>
      <c r="BB4" s="24" t="s">
        <v>59</v>
      </c>
      <c r="BC4" s="24" t="s">
        <v>60</v>
      </c>
      <c r="BD4" s="24" t="s">
        <v>61</v>
      </c>
      <c r="BE4" s="24" t="s">
        <v>62</v>
      </c>
      <c r="BF4" s="24" t="s">
        <v>63</v>
      </c>
      <c r="BG4" s="24" t="s">
        <v>64</v>
      </c>
      <c r="BH4" s="24" t="s">
        <v>65</v>
      </c>
      <c r="BI4" s="24" t="s">
        <v>66</v>
      </c>
      <c r="BJ4" s="24" t="s">
        <v>67</v>
      </c>
      <c r="BK4" s="24" t="s">
        <v>68</v>
      </c>
      <c r="BL4" s="24" t="s">
        <v>69</v>
      </c>
      <c r="BM4" s="50" t="s">
        <v>70</v>
      </c>
      <c r="BN4" s="50" t="s">
        <v>71</v>
      </c>
      <c r="BO4" s="50" t="s">
        <v>72</v>
      </c>
      <c r="BP4" s="30" t="s">
        <v>73</v>
      </c>
      <c r="BQ4" s="30" t="s">
        <v>74</v>
      </c>
      <c r="BR4" s="30" t="s">
        <v>75</v>
      </c>
      <c r="BS4" s="30" t="s">
        <v>76</v>
      </c>
      <c r="BT4" s="30" t="s">
        <v>77</v>
      </c>
      <c r="BU4" s="30" t="s">
        <v>78</v>
      </c>
      <c r="BV4" s="30" t="s">
        <v>79</v>
      </c>
      <c r="BW4" s="30" t="s">
        <v>80</v>
      </c>
      <c r="BX4" s="30" t="s">
        <v>81</v>
      </c>
      <c r="BY4" s="30" t="s">
        <v>82</v>
      </c>
      <c r="BZ4" s="30" t="s">
        <v>83</v>
      </c>
      <c r="CA4" s="30" t="s">
        <v>84</v>
      </c>
      <c r="CB4" s="30" t="s">
        <v>85</v>
      </c>
      <c r="CC4" s="30" t="s">
        <v>86</v>
      </c>
      <c r="CD4" s="30" t="s">
        <v>87</v>
      </c>
      <c r="CE4" s="30" t="s">
        <v>88</v>
      </c>
      <c r="CF4" s="30" t="s">
        <v>89</v>
      </c>
      <c r="CG4" s="30" t="s">
        <v>90</v>
      </c>
      <c r="CH4" s="30" t="s">
        <v>91</v>
      </c>
      <c r="CI4" s="30" t="s">
        <v>92</v>
      </c>
      <c r="CJ4" s="30" t="s">
        <v>93</v>
      </c>
      <c r="CK4" s="30" t="s">
        <v>94</v>
      </c>
      <c r="CL4" s="30" t="s">
        <v>95</v>
      </c>
      <c r="CM4" s="30" t="s">
        <v>96</v>
      </c>
      <c r="CN4" s="30" t="s">
        <v>97</v>
      </c>
      <c r="CO4" s="30" t="s">
        <v>98</v>
      </c>
      <c r="CP4" s="37" t="s">
        <v>99</v>
      </c>
      <c r="CQ4" s="30" t="s">
        <v>100</v>
      </c>
      <c r="CR4" s="30" t="s">
        <v>101</v>
      </c>
      <c r="CS4" s="38" t="s">
        <v>102</v>
      </c>
      <c r="CT4" s="38" t="s">
        <v>103</v>
      </c>
      <c r="CU4" s="38" t="s">
        <v>104</v>
      </c>
    </row>
    <row r="5" s="2" customFormat="1" ht="49.5" spans="1:99">
      <c r="A5" s="13" t="s">
        <v>105</v>
      </c>
      <c r="B5" s="13" t="s">
        <v>106</v>
      </c>
      <c r="C5" s="13"/>
      <c r="D5" s="13" t="s">
        <v>107</v>
      </c>
      <c r="E5" s="13"/>
      <c r="F5" s="13"/>
      <c r="G5" s="10" t="s">
        <v>108</v>
      </c>
      <c r="H5" s="10" t="s">
        <v>109</v>
      </c>
      <c r="I5" s="10" t="s">
        <v>110</v>
      </c>
      <c r="J5" s="10" t="s">
        <v>111</v>
      </c>
      <c r="K5" s="10" t="s">
        <v>112</v>
      </c>
      <c r="L5" s="10" t="s">
        <v>113</v>
      </c>
      <c r="M5" s="10" t="s">
        <v>114</v>
      </c>
      <c r="N5" s="10" t="s">
        <v>115</v>
      </c>
      <c r="O5" s="10" t="s">
        <v>116</v>
      </c>
      <c r="P5" s="10" t="s">
        <v>117</v>
      </c>
      <c r="Q5" s="10" t="s">
        <v>118</v>
      </c>
      <c r="R5" s="10" t="s">
        <v>119</v>
      </c>
      <c r="S5" s="10" t="s">
        <v>120</v>
      </c>
      <c r="T5" s="10" t="s">
        <v>121</v>
      </c>
      <c r="U5" s="10" t="s">
        <v>122</v>
      </c>
      <c r="V5" s="10" t="s">
        <v>123</v>
      </c>
      <c r="W5" s="10" t="s">
        <v>124</v>
      </c>
      <c r="X5" s="10" t="s">
        <v>125</v>
      </c>
      <c r="Y5" s="10" t="s">
        <v>126</v>
      </c>
      <c r="Z5" s="10" t="s">
        <v>127</v>
      </c>
      <c r="AA5" s="10" t="s">
        <v>128</v>
      </c>
      <c r="AB5" s="10" t="s">
        <v>129</v>
      </c>
      <c r="AC5" s="10" t="s">
        <v>130</v>
      </c>
      <c r="AD5" s="10" t="s">
        <v>131</v>
      </c>
      <c r="AE5" s="10" t="s">
        <v>132</v>
      </c>
      <c r="AF5" s="10" t="s">
        <v>133</v>
      </c>
      <c r="AG5" s="24" t="s">
        <v>134</v>
      </c>
      <c r="AH5" s="24" t="s">
        <v>135</v>
      </c>
      <c r="AI5" s="24" t="s">
        <v>136</v>
      </c>
      <c r="AJ5" s="24" t="s">
        <v>137</v>
      </c>
      <c r="AK5" s="24" t="s">
        <v>138</v>
      </c>
      <c r="AL5" s="24" t="s">
        <v>139</v>
      </c>
      <c r="AM5" s="24" t="s">
        <v>140</v>
      </c>
      <c r="AN5" s="24" t="s">
        <v>141</v>
      </c>
      <c r="AO5" s="24" t="s">
        <v>142</v>
      </c>
      <c r="AP5" s="24" t="s">
        <v>143</v>
      </c>
      <c r="AQ5" s="24" t="s">
        <v>144</v>
      </c>
      <c r="AR5" s="24" t="s">
        <v>145</v>
      </c>
      <c r="AS5" s="24" t="s">
        <v>146</v>
      </c>
      <c r="AT5" s="24" t="s">
        <v>147</v>
      </c>
      <c r="AU5" s="24" t="s">
        <v>148</v>
      </c>
      <c r="AV5" s="24" t="s">
        <v>149</v>
      </c>
      <c r="AW5" s="24" t="s">
        <v>150</v>
      </c>
      <c r="AX5" s="24" t="s">
        <v>151</v>
      </c>
      <c r="AY5" s="24" t="s">
        <v>152</v>
      </c>
      <c r="AZ5" s="24" t="s">
        <v>153</v>
      </c>
      <c r="BA5" s="24" t="s">
        <v>154</v>
      </c>
      <c r="BB5" s="24" t="s">
        <v>155</v>
      </c>
      <c r="BC5" s="24" t="s">
        <v>156</v>
      </c>
      <c r="BD5" s="24" t="s">
        <v>157</v>
      </c>
      <c r="BE5" s="24" t="s">
        <v>158</v>
      </c>
      <c r="BF5" s="24" t="s">
        <v>159</v>
      </c>
      <c r="BG5" s="24" t="s">
        <v>160</v>
      </c>
      <c r="BH5" s="24" t="s">
        <v>161</v>
      </c>
      <c r="BI5" s="24" t="s">
        <v>162</v>
      </c>
      <c r="BJ5" s="24" t="s">
        <v>163</v>
      </c>
      <c r="BK5" s="24" t="s">
        <v>164</v>
      </c>
      <c r="BL5" s="24" t="s">
        <v>165</v>
      </c>
      <c r="BM5" s="24" t="s">
        <v>166</v>
      </c>
      <c r="BN5" s="24" t="s">
        <v>167</v>
      </c>
      <c r="BO5" s="24" t="s">
        <v>168</v>
      </c>
      <c r="BP5" s="30" t="s">
        <v>169</v>
      </c>
      <c r="BQ5" s="30" t="s">
        <v>170</v>
      </c>
      <c r="BR5" s="30" t="s">
        <v>171</v>
      </c>
      <c r="BS5" s="30" t="s">
        <v>172</v>
      </c>
      <c r="BT5" s="30" t="s">
        <v>173</v>
      </c>
      <c r="BU5" s="30" t="s">
        <v>174</v>
      </c>
      <c r="BV5" s="30" t="s">
        <v>175</v>
      </c>
      <c r="BW5" s="30" t="s">
        <v>176</v>
      </c>
      <c r="BX5" s="30" t="s">
        <v>177</v>
      </c>
      <c r="BY5" s="30" t="s">
        <v>178</v>
      </c>
      <c r="BZ5" s="30" t="s">
        <v>179</v>
      </c>
      <c r="CA5" s="30" t="s">
        <v>180</v>
      </c>
      <c r="CB5" s="30" t="s">
        <v>181</v>
      </c>
      <c r="CC5" s="30" t="s">
        <v>182</v>
      </c>
      <c r="CD5" s="30" t="s">
        <v>183</v>
      </c>
      <c r="CE5" s="30" t="s">
        <v>184</v>
      </c>
      <c r="CF5" s="30" t="s">
        <v>185</v>
      </c>
      <c r="CG5" s="30" t="s">
        <v>186</v>
      </c>
      <c r="CH5" s="30" t="s">
        <v>187</v>
      </c>
      <c r="CI5" s="30" t="s">
        <v>188</v>
      </c>
      <c r="CJ5" s="30" t="s">
        <v>189</v>
      </c>
      <c r="CK5" s="30" t="s">
        <v>190</v>
      </c>
      <c r="CL5" s="30" t="s">
        <v>191</v>
      </c>
      <c r="CM5" s="30" t="s">
        <v>192</v>
      </c>
      <c r="CN5" s="30" t="s">
        <v>193</v>
      </c>
      <c r="CO5" s="30" t="s">
        <v>194</v>
      </c>
      <c r="CP5" s="37" t="s">
        <v>195</v>
      </c>
      <c r="CQ5" s="30" t="s">
        <v>196</v>
      </c>
      <c r="CR5" s="30" t="s">
        <v>197</v>
      </c>
      <c r="CS5" s="38" t="s">
        <v>198</v>
      </c>
      <c r="CT5" s="38" t="s">
        <v>199</v>
      </c>
      <c r="CU5" s="38" t="s">
        <v>200</v>
      </c>
    </row>
    <row r="6" s="1" customFormat="1" spans="1:99">
      <c r="A6" s="9" t="s">
        <v>201</v>
      </c>
      <c r="B6" s="9"/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49" t="s">
        <v>202</v>
      </c>
      <c r="BH6" s="23"/>
      <c r="BI6" s="23"/>
      <c r="BJ6" s="23"/>
      <c r="BK6" s="23"/>
      <c r="BL6" s="23"/>
      <c r="BM6" s="23"/>
      <c r="BN6" s="23"/>
      <c r="BO6" s="23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35" t="s">
        <v>202</v>
      </c>
      <c r="CQ6" s="29"/>
      <c r="CR6" s="29"/>
      <c r="CS6" s="36"/>
      <c r="CT6" s="36"/>
      <c r="CU6" s="36"/>
    </row>
    <row r="7" s="1" customFormat="1" spans="1:99">
      <c r="A7" s="14" t="s">
        <v>203</v>
      </c>
      <c r="B7" s="14"/>
      <c r="C7" s="14"/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9"/>
      <c r="CQ7" s="31"/>
      <c r="CR7" s="31"/>
      <c r="CS7" s="40"/>
      <c r="CT7" s="40"/>
      <c r="CU7" s="40"/>
    </row>
    <row r="8" spans="1:99">
      <c r="A8" s="16" t="s">
        <v>204</v>
      </c>
      <c r="B8" s="17" t="str">
        <f>D8&amp;IF(LENB(E8)=1,0&amp;E8,E8)</f>
        <v>100101</v>
      </c>
      <c r="C8" s="4" t="s">
        <v>205</v>
      </c>
      <c r="D8" s="18">
        <v>1001</v>
      </c>
      <c r="E8" s="4">
        <v>1</v>
      </c>
      <c r="F8" s="4" t="s">
        <v>206</v>
      </c>
      <c r="G8" s="19">
        <v>0</v>
      </c>
      <c r="H8" s="19">
        <v>0.4</v>
      </c>
      <c r="I8" s="19">
        <f t="shared" ref="I8:I22" si="0">K8*10/2</f>
        <v>0.05275</v>
      </c>
      <c r="J8" s="20">
        <v>0.002</v>
      </c>
      <c r="K8" s="19">
        <f>L8/3</f>
        <v>0.01055</v>
      </c>
      <c r="L8" s="20">
        <v>0.03165</v>
      </c>
      <c r="M8" s="20">
        <v>0.00908</v>
      </c>
      <c r="N8" s="20">
        <v>0.00687</v>
      </c>
      <c r="O8" s="19">
        <v>0.08846</v>
      </c>
      <c r="P8" s="19">
        <v>0</v>
      </c>
      <c r="Q8" s="19">
        <f t="shared" ref="Q8:Q30" si="1">M8</f>
        <v>0.00908</v>
      </c>
      <c r="R8" s="19">
        <f t="shared" ref="R8:R30" si="2">M8</f>
        <v>0.00908</v>
      </c>
      <c r="S8" s="19">
        <f t="shared" ref="S8:S30" si="3">AC8/0.6*0.4</f>
        <v>0.07346</v>
      </c>
      <c r="T8" s="19">
        <f t="shared" ref="T8:T30" si="4">V8*0.52</f>
        <v>0.0115752</v>
      </c>
      <c r="U8" s="19">
        <f t="shared" ref="U8:U30" si="5">(V8-T8)/((0.95-0.34)/0.34)</f>
        <v>0.00595546229508197</v>
      </c>
      <c r="V8" s="20">
        <f>0.03134-Q8</f>
        <v>0.02226</v>
      </c>
      <c r="W8" s="19">
        <v>0</v>
      </c>
      <c r="X8" s="19">
        <v>0</v>
      </c>
      <c r="Y8" s="19">
        <f t="shared" ref="Y8:Y30" si="6">(Z8-X8)/((0.52-0.34)/0.34)</f>
        <v>0.0142958666666667</v>
      </c>
      <c r="Z8" s="19">
        <f t="shared" ref="Z8:Z30" si="7">V8*0.34</f>
        <v>0.0075684</v>
      </c>
      <c r="AA8" s="19">
        <f t="shared" ref="AA8:AA30" si="8">AC8/3</f>
        <v>0.03673</v>
      </c>
      <c r="AB8" s="19">
        <f t="shared" ref="AB8:AB30" si="9">(AC8-AA8)/7.5</f>
        <v>0.00979466666666667</v>
      </c>
      <c r="AC8" s="20">
        <f>0.18365*0.6</f>
        <v>0.11019</v>
      </c>
      <c r="AD8" s="19">
        <v>1</v>
      </c>
      <c r="AE8" s="19">
        <v>1</v>
      </c>
      <c r="AF8" s="21">
        <v>1</v>
      </c>
      <c r="AG8" s="44">
        <v>3</v>
      </c>
      <c r="AH8" s="44">
        <v>0</v>
      </c>
      <c r="AI8" s="44">
        <v>30</v>
      </c>
      <c r="AJ8" s="44">
        <v>10</v>
      </c>
      <c r="AK8" s="44">
        <v>0</v>
      </c>
      <c r="AL8" s="44">
        <v>0</v>
      </c>
      <c r="AM8" s="44" t="s">
        <v>207</v>
      </c>
      <c r="AN8" s="44">
        <v>0.5</v>
      </c>
      <c r="AO8" s="44">
        <v>0.65</v>
      </c>
      <c r="AP8" s="44">
        <v>1</v>
      </c>
      <c r="AQ8" s="44">
        <v>1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0.975</v>
      </c>
      <c r="BA8" s="44">
        <v>6.5</v>
      </c>
      <c r="BB8" s="44">
        <v>0.5</v>
      </c>
      <c r="BC8" s="44">
        <v>0</v>
      </c>
      <c r="BD8" s="44">
        <v>0</v>
      </c>
      <c r="BE8" s="44">
        <v>0</v>
      </c>
      <c r="BF8" s="44">
        <v>0</v>
      </c>
      <c r="BG8" s="44" t="s">
        <v>208</v>
      </c>
      <c r="BH8" s="44">
        <v>0</v>
      </c>
      <c r="BI8" s="44">
        <v>0</v>
      </c>
      <c r="BJ8" s="44">
        <v>0.5</v>
      </c>
      <c r="BK8" s="44">
        <v>0.5</v>
      </c>
      <c r="BL8" s="44">
        <v>0.5</v>
      </c>
      <c r="BM8" s="44">
        <v>12.7</v>
      </c>
      <c r="BN8" s="44">
        <v>10</v>
      </c>
      <c r="BO8" s="44">
        <v>1</v>
      </c>
      <c r="BP8" s="41">
        <v>0.15</v>
      </c>
      <c r="BQ8" s="41">
        <v>1</v>
      </c>
      <c r="BR8" s="41">
        <v>0</v>
      </c>
      <c r="BS8" s="41">
        <v>0.03</v>
      </c>
      <c r="BT8" s="41">
        <v>1</v>
      </c>
      <c r="BU8" s="41">
        <v>38</v>
      </c>
      <c r="BV8" s="41">
        <v>1</v>
      </c>
      <c r="BW8" s="41">
        <v>0.93</v>
      </c>
      <c r="BX8" s="41">
        <v>2.27</v>
      </c>
      <c r="BY8" s="41">
        <v>0</v>
      </c>
      <c r="BZ8" s="41">
        <v>0</v>
      </c>
      <c r="CA8" s="41">
        <v>1</v>
      </c>
      <c r="CB8" s="41">
        <v>1</v>
      </c>
      <c r="CC8" s="41">
        <v>1</v>
      </c>
      <c r="CD8" s="41">
        <v>13</v>
      </c>
      <c r="CE8" s="41">
        <v>26</v>
      </c>
      <c r="CF8" s="41">
        <v>9999</v>
      </c>
      <c r="CG8" s="41">
        <v>1</v>
      </c>
      <c r="CH8" s="41">
        <v>1.2</v>
      </c>
      <c r="CI8" s="41">
        <v>5</v>
      </c>
      <c r="CJ8" s="41">
        <v>0.05</v>
      </c>
      <c r="CK8" s="41">
        <v>20</v>
      </c>
      <c r="CL8" s="41">
        <v>0.1</v>
      </c>
      <c r="CM8" s="41">
        <v>0.1</v>
      </c>
      <c r="CN8" s="41">
        <v>30</v>
      </c>
      <c r="CO8" s="41">
        <v>30</v>
      </c>
      <c r="CP8" s="41" t="s">
        <v>209</v>
      </c>
      <c r="CQ8" s="41">
        <v>0</v>
      </c>
      <c r="CR8" s="41">
        <v>0</v>
      </c>
      <c r="CS8" s="51">
        <v>100</v>
      </c>
      <c r="CT8" s="51">
        <v>1.28</v>
      </c>
      <c r="CU8" s="51">
        <v>6.09</v>
      </c>
    </row>
    <row r="9" spans="1:99">
      <c r="A9" s="16" t="s">
        <v>204</v>
      </c>
      <c r="B9" s="17" t="str">
        <f t="shared" ref="B9:B30" si="10">D9&amp;IF(LENB(E9)=1,0&amp;E9,E9)</f>
        <v>100201</v>
      </c>
      <c r="C9" s="43" t="s">
        <v>205</v>
      </c>
      <c r="D9" s="18">
        <v>1002</v>
      </c>
      <c r="E9" s="4">
        <v>1</v>
      </c>
      <c r="F9" s="4" t="s">
        <v>210</v>
      </c>
      <c r="G9" s="19">
        <v>0</v>
      </c>
      <c r="H9" s="19">
        <v>0.4</v>
      </c>
      <c r="I9" s="19">
        <f t="shared" si="0"/>
        <v>0.03905</v>
      </c>
      <c r="J9" s="20">
        <v>0.0025</v>
      </c>
      <c r="K9" s="19">
        <f>L9/3</f>
        <v>0.00781</v>
      </c>
      <c r="L9" s="20">
        <v>0.02343</v>
      </c>
      <c r="M9" s="20">
        <v>0.00415</v>
      </c>
      <c r="N9" s="20">
        <v>0.00288</v>
      </c>
      <c r="O9" s="19">
        <v>0</v>
      </c>
      <c r="P9" s="19">
        <v>0</v>
      </c>
      <c r="Q9" s="19">
        <f t="shared" si="1"/>
        <v>0.00415</v>
      </c>
      <c r="R9" s="19">
        <f t="shared" si="2"/>
        <v>0.00415</v>
      </c>
      <c r="S9" s="19">
        <f t="shared" si="3"/>
        <v>0.05684</v>
      </c>
      <c r="T9" s="19">
        <f t="shared" si="4"/>
        <v>0.0090376</v>
      </c>
      <c r="U9" s="19">
        <f t="shared" si="5"/>
        <v>0.00464986229508197</v>
      </c>
      <c r="V9" s="20">
        <f>0.02153-Q9</f>
        <v>0.01738</v>
      </c>
      <c r="W9" s="19">
        <v>0</v>
      </c>
      <c r="X9" s="19">
        <v>0</v>
      </c>
      <c r="Y9" s="19">
        <f t="shared" si="6"/>
        <v>0.0111618222222222</v>
      </c>
      <c r="Z9" s="19">
        <f t="shared" si="7"/>
        <v>0.0059092</v>
      </c>
      <c r="AA9" s="19">
        <f t="shared" si="8"/>
        <v>0.02842</v>
      </c>
      <c r="AB9" s="19">
        <f t="shared" si="9"/>
        <v>0.00757866666666667</v>
      </c>
      <c r="AC9" s="20">
        <f>0.1421*0.6</f>
        <v>0.08526</v>
      </c>
      <c r="AD9" s="19">
        <v>1</v>
      </c>
      <c r="AE9" s="19">
        <v>1</v>
      </c>
      <c r="AF9" s="21">
        <v>1</v>
      </c>
      <c r="AG9" s="44">
        <v>3</v>
      </c>
      <c r="AH9" s="44">
        <v>0</v>
      </c>
      <c r="AI9" s="44">
        <v>30</v>
      </c>
      <c r="AJ9" s="44">
        <v>10</v>
      </c>
      <c r="AK9" s="44">
        <v>0</v>
      </c>
      <c r="AL9" s="44">
        <v>0</v>
      </c>
      <c r="AM9" s="44">
        <v>0</v>
      </c>
      <c r="AN9" s="44">
        <v>0.5</v>
      </c>
      <c r="AO9" s="44">
        <v>0.65</v>
      </c>
      <c r="AP9" s="44">
        <v>0.9</v>
      </c>
      <c r="AQ9" s="44">
        <v>1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0.65</v>
      </c>
      <c r="BA9" s="44">
        <v>3.25</v>
      </c>
      <c r="BB9" s="44">
        <v>0.4</v>
      </c>
      <c r="BC9" s="44">
        <v>0</v>
      </c>
      <c r="BD9" s="44">
        <v>0</v>
      </c>
      <c r="BE9" s="44">
        <v>0</v>
      </c>
      <c r="BF9" s="44">
        <v>0</v>
      </c>
      <c r="BG9" s="44" t="s">
        <v>208</v>
      </c>
      <c r="BH9" s="44">
        <v>0</v>
      </c>
      <c r="BI9" s="44">
        <v>0</v>
      </c>
      <c r="BJ9" s="44">
        <v>0.1</v>
      </c>
      <c r="BK9" s="44">
        <v>0.1</v>
      </c>
      <c r="BL9" s="44">
        <v>0.1</v>
      </c>
      <c r="BM9" s="44" t="s">
        <v>211</v>
      </c>
      <c r="BN9" s="44">
        <v>9</v>
      </c>
      <c r="BO9" s="44">
        <v>1</v>
      </c>
      <c r="BP9" s="41">
        <v>0.17</v>
      </c>
      <c r="BQ9" s="41">
        <v>1</v>
      </c>
      <c r="BR9" s="41">
        <v>0</v>
      </c>
      <c r="BS9" s="41">
        <v>0.03</v>
      </c>
      <c r="BT9" s="41">
        <v>1</v>
      </c>
      <c r="BU9" s="41">
        <v>35</v>
      </c>
      <c r="BV9" s="41">
        <v>1</v>
      </c>
      <c r="BW9" s="41">
        <v>0.97</v>
      </c>
      <c r="BX9" s="41">
        <v>2.17</v>
      </c>
      <c r="BY9" s="41">
        <v>0</v>
      </c>
      <c r="BZ9" s="41">
        <v>0</v>
      </c>
      <c r="CA9" s="41">
        <v>1</v>
      </c>
      <c r="CB9" s="41">
        <v>1</v>
      </c>
      <c r="CC9" s="41">
        <v>1</v>
      </c>
      <c r="CD9" s="41">
        <v>12</v>
      </c>
      <c r="CE9" s="41">
        <v>24</v>
      </c>
      <c r="CF9" s="41">
        <v>9999</v>
      </c>
      <c r="CG9" s="41">
        <v>1</v>
      </c>
      <c r="CH9" s="41">
        <v>1.2</v>
      </c>
      <c r="CI9" s="41">
        <v>5</v>
      </c>
      <c r="CJ9" s="41">
        <v>0.05</v>
      </c>
      <c r="CK9" s="41">
        <v>20</v>
      </c>
      <c r="CL9" s="41">
        <v>0.1</v>
      </c>
      <c r="CM9" s="41">
        <v>0.1</v>
      </c>
      <c r="CN9" s="41">
        <v>30</v>
      </c>
      <c r="CO9" s="41">
        <v>30</v>
      </c>
      <c r="CP9" s="41" t="s">
        <v>209</v>
      </c>
      <c r="CQ9" s="41">
        <v>0</v>
      </c>
      <c r="CR9" s="41">
        <v>0</v>
      </c>
      <c r="CS9" s="51">
        <v>100</v>
      </c>
      <c r="CT9" s="51">
        <v>1.01</v>
      </c>
      <c r="CU9" s="51">
        <v>6.09</v>
      </c>
    </row>
    <row r="10" spans="1:99">
      <c r="A10" s="16" t="s">
        <v>204</v>
      </c>
      <c r="B10" s="17" t="str">
        <f t="shared" si="10"/>
        <v>100301</v>
      </c>
      <c r="C10" s="43" t="s">
        <v>205</v>
      </c>
      <c r="D10" s="18">
        <v>1003</v>
      </c>
      <c r="E10" s="4">
        <v>1</v>
      </c>
      <c r="F10" s="4" t="s">
        <v>212</v>
      </c>
      <c r="G10" s="19">
        <v>0</v>
      </c>
      <c r="H10" s="19">
        <v>0.4</v>
      </c>
      <c r="I10" s="19">
        <f t="shared" si="0"/>
        <v>0.019</v>
      </c>
      <c r="J10" s="20">
        <v>0.0062</v>
      </c>
      <c r="K10" s="19">
        <f>L10</f>
        <v>0.0038</v>
      </c>
      <c r="L10" s="20">
        <f>0.0076/2</f>
        <v>0.0038</v>
      </c>
      <c r="M10" s="20">
        <v>0.0014</v>
      </c>
      <c r="N10" s="20">
        <v>0</v>
      </c>
      <c r="O10" s="19">
        <v>0</v>
      </c>
      <c r="P10" s="19">
        <v>0</v>
      </c>
      <c r="Q10" s="19">
        <f t="shared" si="1"/>
        <v>0.0014</v>
      </c>
      <c r="R10" s="19">
        <f t="shared" si="2"/>
        <v>0.0014</v>
      </c>
      <c r="S10" s="19">
        <f t="shared" si="3"/>
        <v>0.065224</v>
      </c>
      <c r="T10" s="19">
        <f t="shared" si="4"/>
        <v>0.0416676</v>
      </c>
      <c r="U10" s="19">
        <f t="shared" si="5"/>
        <v>0.0214380590163935</v>
      </c>
      <c r="V10" s="20">
        <f>0.08153-Q10</f>
        <v>0.08013</v>
      </c>
      <c r="W10" s="19">
        <v>0</v>
      </c>
      <c r="X10" s="19">
        <v>0</v>
      </c>
      <c r="Y10" s="19">
        <f t="shared" si="6"/>
        <v>0.0514612666666667</v>
      </c>
      <c r="Z10" s="19">
        <f t="shared" si="7"/>
        <v>0.0272442</v>
      </c>
      <c r="AA10" s="19">
        <f t="shared" si="8"/>
        <v>0.032612</v>
      </c>
      <c r="AB10" s="19">
        <f t="shared" si="9"/>
        <v>0.00869653333333333</v>
      </c>
      <c r="AC10" s="20">
        <f>0.16306*0.6</f>
        <v>0.097836</v>
      </c>
      <c r="AD10" s="19">
        <v>1</v>
      </c>
      <c r="AE10" s="19">
        <v>1</v>
      </c>
      <c r="AF10" s="21">
        <v>1</v>
      </c>
      <c r="AG10" s="44">
        <v>3</v>
      </c>
      <c r="AH10" s="44">
        <v>0</v>
      </c>
      <c r="AI10" s="44">
        <v>35</v>
      </c>
      <c r="AJ10" s="44">
        <v>10</v>
      </c>
      <c r="AK10" s="44">
        <v>0</v>
      </c>
      <c r="AL10" s="53" t="s">
        <v>213</v>
      </c>
      <c r="AM10" s="44" t="s">
        <v>214</v>
      </c>
      <c r="AN10" s="44">
        <v>10</v>
      </c>
      <c r="AO10" s="44">
        <v>0.65</v>
      </c>
      <c r="AP10" s="44">
        <v>1</v>
      </c>
      <c r="AQ10" s="44">
        <v>1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4</v>
      </c>
      <c r="BA10" s="44">
        <v>12</v>
      </c>
      <c r="BB10" s="44">
        <v>1</v>
      </c>
      <c r="BC10" s="44">
        <v>8</v>
      </c>
      <c r="BD10" s="44">
        <v>0</v>
      </c>
      <c r="BE10" s="44">
        <v>0</v>
      </c>
      <c r="BF10" s="44">
        <v>0</v>
      </c>
      <c r="BG10" s="44" t="s">
        <v>209</v>
      </c>
      <c r="BH10" s="44">
        <v>1.35</v>
      </c>
      <c r="BI10" s="44">
        <v>7</v>
      </c>
      <c r="BJ10" s="44">
        <v>1</v>
      </c>
      <c r="BK10" s="44">
        <v>1</v>
      </c>
      <c r="BL10" s="44">
        <v>1</v>
      </c>
      <c r="BM10" s="44">
        <v>12.7</v>
      </c>
      <c r="BN10" s="44">
        <v>55</v>
      </c>
      <c r="BO10" s="44">
        <v>1</v>
      </c>
      <c r="BP10" s="41">
        <v>0.85</v>
      </c>
      <c r="BQ10" s="41">
        <v>1</v>
      </c>
      <c r="BR10" s="41">
        <v>0</v>
      </c>
      <c r="BS10" s="41">
        <v>0.03</v>
      </c>
      <c r="BT10" s="41">
        <v>1</v>
      </c>
      <c r="BU10" s="41">
        <v>32</v>
      </c>
      <c r="BV10" s="41">
        <v>1</v>
      </c>
      <c r="BW10" s="41">
        <v>0.367</v>
      </c>
      <c r="BX10" s="41">
        <v>0.33</v>
      </c>
      <c r="BY10" s="41">
        <v>0.767</v>
      </c>
      <c r="BZ10" s="41">
        <v>0.5</v>
      </c>
      <c r="CA10" s="41">
        <v>1</v>
      </c>
      <c r="CB10" s="41">
        <v>1</v>
      </c>
      <c r="CC10" s="41">
        <v>1</v>
      </c>
      <c r="CD10" s="41">
        <v>7</v>
      </c>
      <c r="CE10" s="41">
        <v>32</v>
      </c>
      <c r="CF10" s="41">
        <v>9999</v>
      </c>
      <c r="CG10" s="41">
        <v>1</v>
      </c>
      <c r="CH10" s="41">
        <v>1.2</v>
      </c>
      <c r="CI10" s="41">
        <v>5</v>
      </c>
      <c r="CJ10" s="41">
        <v>0.05</v>
      </c>
      <c r="CK10" s="41">
        <v>20</v>
      </c>
      <c r="CL10" s="41">
        <v>0.1</v>
      </c>
      <c r="CM10" s="41">
        <v>0.1</v>
      </c>
      <c r="CN10" s="41">
        <v>30</v>
      </c>
      <c r="CO10" s="41">
        <v>30</v>
      </c>
      <c r="CP10" s="41" t="s">
        <v>209</v>
      </c>
      <c r="CQ10" s="41">
        <v>0</v>
      </c>
      <c r="CR10" s="41">
        <v>0</v>
      </c>
      <c r="CS10" s="51">
        <v>35</v>
      </c>
      <c r="CT10" s="52">
        <v>1.5</v>
      </c>
      <c r="CU10" s="51">
        <v>5.33</v>
      </c>
    </row>
    <row r="11" spans="1:99">
      <c r="A11" s="16" t="s">
        <v>204</v>
      </c>
      <c r="B11" s="17" t="str">
        <f t="shared" si="10"/>
        <v>100401</v>
      </c>
      <c r="C11" s="4" t="s">
        <v>205</v>
      </c>
      <c r="D11" s="18">
        <v>1004</v>
      </c>
      <c r="E11" s="4">
        <v>1</v>
      </c>
      <c r="F11" s="4" t="s">
        <v>215</v>
      </c>
      <c r="G11" s="19">
        <v>0</v>
      </c>
      <c r="H11" s="19">
        <v>0.4</v>
      </c>
      <c r="I11" s="19">
        <f t="shared" si="0"/>
        <v>0.0537833333333335</v>
      </c>
      <c r="J11" s="20">
        <v>0.003</v>
      </c>
      <c r="K11" s="19">
        <f>L11/3</f>
        <v>0.0107566666666667</v>
      </c>
      <c r="L11" s="20">
        <v>0.03227</v>
      </c>
      <c r="M11" s="20">
        <v>0.0103</v>
      </c>
      <c r="N11" s="20">
        <v>0.00777</v>
      </c>
      <c r="O11" s="19">
        <v>0</v>
      </c>
      <c r="P11" s="19">
        <v>0</v>
      </c>
      <c r="Q11" s="19">
        <f t="shared" si="1"/>
        <v>0.0103</v>
      </c>
      <c r="R11" s="19">
        <f t="shared" si="2"/>
        <v>0.0103</v>
      </c>
      <c r="S11" s="19">
        <f t="shared" si="3"/>
        <v>0.118281333333333</v>
      </c>
      <c r="T11" s="19">
        <f t="shared" si="4"/>
        <v>0.014326</v>
      </c>
      <c r="U11" s="19">
        <f t="shared" si="5"/>
        <v>0.00737075409836066</v>
      </c>
      <c r="V11" s="20">
        <v>0.02755</v>
      </c>
      <c r="W11" s="19">
        <v>0</v>
      </c>
      <c r="X11" s="19">
        <v>0</v>
      </c>
      <c r="Y11" s="19">
        <f t="shared" si="6"/>
        <v>0.0176932222222222</v>
      </c>
      <c r="Z11" s="19">
        <f t="shared" si="7"/>
        <v>0.009367</v>
      </c>
      <c r="AA11" s="19">
        <f t="shared" si="8"/>
        <v>0.0591406666666667</v>
      </c>
      <c r="AB11" s="19">
        <f t="shared" si="9"/>
        <v>0.0157708444444444</v>
      </c>
      <c r="AC11" s="20">
        <v>0.177422</v>
      </c>
      <c r="AD11" s="19">
        <v>1</v>
      </c>
      <c r="AE11" s="19">
        <v>1</v>
      </c>
      <c r="AF11" s="21">
        <v>1</v>
      </c>
      <c r="AG11" s="44">
        <v>1</v>
      </c>
      <c r="AH11" s="44">
        <v>8</v>
      </c>
      <c r="AI11" s="44">
        <v>35</v>
      </c>
      <c r="AJ11" s="44">
        <v>10</v>
      </c>
      <c r="AK11" s="44" t="s">
        <v>216</v>
      </c>
      <c r="AL11" s="44">
        <v>0</v>
      </c>
      <c r="AM11" s="44" t="s">
        <v>217</v>
      </c>
      <c r="AN11" s="44">
        <v>0.5</v>
      </c>
      <c r="AO11" s="44">
        <v>0.65</v>
      </c>
      <c r="AP11" s="44">
        <v>0.65</v>
      </c>
      <c r="AQ11" s="44">
        <v>0.6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 t="s">
        <v>208</v>
      </c>
      <c r="BH11" s="44">
        <v>0</v>
      </c>
      <c r="BI11" s="44">
        <v>0</v>
      </c>
      <c r="BJ11" s="44">
        <v>0.5</v>
      </c>
      <c r="BK11" s="44">
        <v>0.5</v>
      </c>
      <c r="BL11" s="44">
        <v>0.5</v>
      </c>
      <c r="BM11" s="44">
        <v>12.7</v>
      </c>
      <c r="BN11" s="44">
        <v>15</v>
      </c>
      <c r="BO11" s="44">
        <v>1</v>
      </c>
      <c r="BP11" s="41">
        <v>0.1</v>
      </c>
      <c r="BQ11" s="41">
        <v>1</v>
      </c>
      <c r="BR11" s="41">
        <v>0</v>
      </c>
      <c r="BS11" s="41">
        <v>0.03</v>
      </c>
      <c r="BT11" s="41">
        <v>1</v>
      </c>
      <c r="BU11" s="41">
        <v>31</v>
      </c>
      <c r="BV11" s="41">
        <v>1</v>
      </c>
      <c r="BW11" s="41">
        <v>1.53</v>
      </c>
      <c r="BX11" s="41">
        <v>2.83</v>
      </c>
      <c r="BY11" s="41">
        <v>0</v>
      </c>
      <c r="BZ11" s="41">
        <v>0</v>
      </c>
      <c r="CA11" s="41">
        <v>1</v>
      </c>
      <c r="CB11" s="41">
        <v>1.83</v>
      </c>
      <c r="CC11" s="41">
        <v>1</v>
      </c>
      <c r="CD11" s="41">
        <v>12</v>
      </c>
      <c r="CE11" s="41">
        <v>12</v>
      </c>
      <c r="CF11" s="41">
        <v>9999</v>
      </c>
      <c r="CG11" s="41">
        <v>1</v>
      </c>
      <c r="CH11" s="41">
        <v>1.2</v>
      </c>
      <c r="CI11" s="41">
        <v>5</v>
      </c>
      <c r="CJ11" s="41">
        <v>0.05</v>
      </c>
      <c r="CK11" s="41">
        <v>20</v>
      </c>
      <c r="CL11" s="41">
        <v>0.1</v>
      </c>
      <c r="CM11" s="41">
        <v>0.1</v>
      </c>
      <c r="CN11" s="41">
        <v>30</v>
      </c>
      <c r="CO11" s="41">
        <v>30</v>
      </c>
      <c r="CP11" s="41" t="s">
        <v>208</v>
      </c>
      <c r="CQ11" s="41">
        <v>0</v>
      </c>
      <c r="CR11" s="41">
        <v>0</v>
      </c>
      <c r="CS11" s="51">
        <v>100</v>
      </c>
      <c r="CT11" s="51">
        <v>1.553</v>
      </c>
      <c r="CU11" s="51">
        <v>6.09</v>
      </c>
    </row>
    <row r="12" spans="1:99">
      <c r="A12" s="16" t="s">
        <v>204</v>
      </c>
      <c r="B12" s="17" t="str">
        <f t="shared" si="10"/>
        <v>100501</v>
      </c>
      <c r="C12" s="4" t="s">
        <v>205</v>
      </c>
      <c r="D12" s="18">
        <v>1005</v>
      </c>
      <c r="E12" s="4">
        <v>1</v>
      </c>
      <c r="F12" s="4" t="s">
        <v>218</v>
      </c>
      <c r="G12" s="19">
        <v>0</v>
      </c>
      <c r="H12" s="19">
        <v>0.4</v>
      </c>
      <c r="I12" s="19">
        <f t="shared" si="0"/>
        <v>0.11225</v>
      </c>
      <c r="J12" s="20">
        <v>0.002</v>
      </c>
      <c r="K12" s="19">
        <f>L12/3</f>
        <v>0.02245</v>
      </c>
      <c r="L12" s="20">
        <v>0.06735</v>
      </c>
      <c r="M12" s="20">
        <v>0.00465</v>
      </c>
      <c r="N12" s="20">
        <v>0.00275</v>
      </c>
      <c r="O12" s="19">
        <v>0</v>
      </c>
      <c r="P12" s="19">
        <v>0</v>
      </c>
      <c r="Q12" s="19">
        <f t="shared" si="1"/>
        <v>0.00465</v>
      </c>
      <c r="R12" s="19">
        <f t="shared" si="2"/>
        <v>0.00465</v>
      </c>
      <c r="S12" s="19">
        <f t="shared" si="3"/>
        <v>0.211972</v>
      </c>
      <c r="T12" s="19">
        <f t="shared" si="4"/>
        <v>0.0247312</v>
      </c>
      <c r="U12" s="19">
        <f t="shared" si="5"/>
        <v>0.0127242491803279</v>
      </c>
      <c r="V12" s="20">
        <f>0.05221-Q12</f>
        <v>0.04756</v>
      </c>
      <c r="W12" s="19">
        <v>0</v>
      </c>
      <c r="X12" s="19">
        <v>0</v>
      </c>
      <c r="Y12" s="19">
        <f t="shared" si="6"/>
        <v>0.0305440888888889</v>
      </c>
      <c r="Z12" s="19">
        <f t="shared" si="7"/>
        <v>0.0161704</v>
      </c>
      <c r="AA12" s="19">
        <f t="shared" si="8"/>
        <v>0.105986</v>
      </c>
      <c r="AB12" s="19">
        <f t="shared" si="9"/>
        <v>0.0282629333333333</v>
      </c>
      <c r="AC12" s="20">
        <f>0.52993*0.6</f>
        <v>0.317958</v>
      </c>
      <c r="AD12" s="19">
        <v>1</v>
      </c>
      <c r="AE12" s="19">
        <v>1</v>
      </c>
      <c r="AF12" s="21">
        <v>1</v>
      </c>
      <c r="AG12" s="44">
        <v>0</v>
      </c>
      <c r="AH12" s="44">
        <v>0</v>
      </c>
      <c r="AI12" s="44">
        <v>30</v>
      </c>
      <c r="AJ12" s="44">
        <v>10</v>
      </c>
      <c r="AK12" s="44">
        <v>0</v>
      </c>
      <c r="AL12" s="44">
        <v>0</v>
      </c>
      <c r="AM12" s="44" t="s">
        <v>214</v>
      </c>
      <c r="AN12" s="44">
        <v>1</v>
      </c>
      <c r="AO12" s="44">
        <v>0.65</v>
      </c>
      <c r="AP12" s="44">
        <v>1</v>
      </c>
      <c r="AQ12" s="44">
        <v>1</v>
      </c>
      <c r="AR12" s="44">
        <v>0</v>
      </c>
      <c r="AS12" s="44">
        <v>0</v>
      </c>
      <c r="AT12" s="44">
        <v>0</v>
      </c>
      <c r="AU12" s="44">
        <v>1.5</v>
      </c>
      <c r="AV12" s="44">
        <v>0.25</v>
      </c>
      <c r="AW12" s="44">
        <v>0.5</v>
      </c>
      <c r="AX12" s="44">
        <v>0.9</v>
      </c>
      <c r="AY12" s="44">
        <v>30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 t="s">
        <v>208</v>
      </c>
      <c r="BH12" s="44">
        <v>0</v>
      </c>
      <c r="BI12" s="44">
        <v>0</v>
      </c>
      <c r="BJ12" s="44">
        <v>2</v>
      </c>
      <c r="BK12" s="44">
        <v>2</v>
      </c>
      <c r="BL12" s="44">
        <v>2</v>
      </c>
      <c r="BM12" s="44">
        <v>12.7</v>
      </c>
      <c r="BN12" s="44">
        <v>19</v>
      </c>
      <c r="BO12" s="44">
        <v>2</v>
      </c>
      <c r="BP12" s="41">
        <v>0.225</v>
      </c>
      <c r="BQ12" s="41">
        <v>1</v>
      </c>
      <c r="BR12" s="41">
        <v>0</v>
      </c>
      <c r="BS12" s="41">
        <v>0.03</v>
      </c>
      <c r="BT12" s="41">
        <v>1</v>
      </c>
      <c r="BU12" s="41">
        <v>63</v>
      </c>
      <c r="BV12" s="41">
        <v>1</v>
      </c>
      <c r="BW12" s="41">
        <v>0.87</v>
      </c>
      <c r="BX12" s="41">
        <v>2.2</v>
      </c>
      <c r="BY12" s="41">
        <v>0</v>
      </c>
      <c r="BZ12" s="41">
        <v>0</v>
      </c>
      <c r="CA12" s="41">
        <v>1</v>
      </c>
      <c r="CB12" s="41">
        <v>1</v>
      </c>
      <c r="CC12" s="41">
        <v>1</v>
      </c>
      <c r="CD12" s="41">
        <v>7</v>
      </c>
      <c r="CE12" s="41">
        <v>35</v>
      </c>
      <c r="CF12" s="41">
        <v>9999</v>
      </c>
      <c r="CG12" s="41">
        <v>1</v>
      </c>
      <c r="CH12" s="41">
        <v>1.2</v>
      </c>
      <c r="CI12" s="41">
        <v>5</v>
      </c>
      <c r="CJ12" s="41">
        <v>0.05</v>
      </c>
      <c r="CK12" s="41">
        <v>20</v>
      </c>
      <c r="CL12" s="41">
        <v>0.1</v>
      </c>
      <c r="CM12" s="41">
        <v>0.1</v>
      </c>
      <c r="CN12" s="41">
        <v>30</v>
      </c>
      <c r="CO12" s="41">
        <v>30</v>
      </c>
      <c r="CP12" s="41" t="s">
        <v>209</v>
      </c>
      <c r="CQ12" s="41">
        <v>0</v>
      </c>
      <c r="CR12" s="41">
        <v>0</v>
      </c>
      <c r="CS12" s="51">
        <v>100</v>
      </c>
      <c r="CT12" s="51">
        <v>1.864</v>
      </c>
      <c r="CU12" s="51">
        <v>5.84</v>
      </c>
    </row>
    <row r="13" spans="1:99">
      <c r="A13" s="16" t="s">
        <v>204</v>
      </c>
      <c r="B13" s="17" t="str">
        <f t="shared" si="10"/>
        <v>100601</v>
      </c>
      <c r="C13" s="43" t="s">
        <v>205</v>
      </c>
      <c r="D13" s="18">
        <v>1006</v>
      </c>
      <c r="E13" s="4">
        <v>1</v>
      </c>
      <c r="F13" s="4" t="s">
        <v>219</v>
      </c>
      <c r="G13" s="19">
        <v>0</v>
      </c>
      <c r="H13" s="19">
        <v>0.4</v>
      </c>
      <c r="I13" s="19">
        <f t="shared" si="0"/>
        <v>0.0182</v>
      </c>
      <c r="J13" s="20">
        <v>0.004</v>
      </c>
      <c r="K13" s="19">
        <f>L13</f>
        <v>0.00364</v>
      </c>
      <c r="L13" s="20">
        <f>0.00728/2</f>
        <v>0.00364</v>
      </c>
      <c r="M13" s="20">
        <v>0.00328</v>
      </c>
      <c r="N13" s="20">
        <v>0.00202</v>
      </c>
      <c r="O13" s="19">
        <v>0</v>
      </c>
      <c r="P13" s="19">
        <v>0</v>
      </c>
      <c r="Q13" s="19">
        <f t="shared" si="1"/>
        <v>0.00328</v>
      </c>
      <c r="R13" s="19">
        <f t="shared" si="2"/>
        <v>0.00328</v>
      </c>
      <c r="S13" s="19">
        <f t="shared" si="3"/>
        <v>0.063712</v>
      </c>
      <c r="T13" s="19">
        <f t="shared" si="4"/>
        <v>0.0397072</v>
      </c>
      <c r="U13" s="19">
        <f t="shared" si="5"/>
        <v>0.0204294295081967</v>
      </c>
      <c r="V13" s="20">
        <f>0.07964-Q13</f>
        <v>0.07636</v>
      </c>
      <c r="W13" s="19">
        <v>0</v>
      </c>
      <c r="X13" s="19">
        <v>0</v>
      </c>
      <c r="Y13" s="19">
        <f t="shared" si="6"/>
        <v>0.0490400888888889</v>
      </c>
      <c r="Z13" s="19">
        <f t="shared" si="7"/>
        <v>0.0259624</v>
      </c>
      <c r="AA13" s="19">
        <f t="shared" si="8"/>
        <v>0.031856</v>
      </c>
      <c r="AB13" s="19">
        <f t="shared" si="9"/>
        <v>0.00849493333333333</v>
      </c>
      <c r="AC13" s="20">
        <f>0.15928*0.6</f>
        <v>0.095568</v>
      </c>
      <c r="AD13" s="19">
        <v>1</v>
      </c>
      <c r="AE13" s="19">
        <v>1</v>
      </c>
      <c r="AF13" s="21">
        <v>1</v>
      </c>
      <c r="AG13" s="44">
        <v>3</v>
      </c>
      <c r="AH13" s="44">
        <v>0</v>
      </c>
      <c r="AI13" s="44">
        <v>35</v>
      </c>
      <c r="AJ13" s="44">
        <v>10</v>
      </c>
      <c r="AK13" s="44">
        <v>0</v>
      </c>
      <c r="AL13" s="53" t="s">
        <v>220</v>
      </c>
      <c r="AM13" s="44" t="s">
        <v>221</v>
      </c>
      <c r="AN13" s="44">
        <v>10</v>
      </c>
      <c r="AO13" s="44">
        <v>0.65</v>
      </c>
      <c r="AP13" s="44">
        <v>1</v>
      </c>
      <c r="AQ13" s="44">
        <v>1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4</v>
      </c>
      <c r="BA13" s="44">
        <v>12</v>
      </c>
      <c r="BB13" s="44">
        <v>1</v>
      </c>
      <c r="BC13" s="44">
        <v>9</v>
      </c>
      <c r="BD13" s="44">
        <v>0</v>
      </c>
      <c r="BE13" s="44">
        <v>0</v>
      </c>
      <c r="BF13" s="44">
        <v>0</v>
      </c>
      <c r="BG13" s="44" t="s">
        <v>209</v>
      </c>
      <c r="BH13" s="44">
        <v>1.38</v>
      </c>
      <c r="BI13" s="44">
        <v>8</v>
      </c>
      <c r="BJ13" s="44">
        <v>1</v>
      </c>
      <c r="BK13" s="44">
        <v>1</v>
      </c>
      <c r="BL13" s="44">
        <v>1</v>
      </c>
      <c r="BM13" s="44">
        <v>12.7</v>
      </c>
      <c r="BN13" s="44">
        <v>30</v>
      </c>
      <c r="BO13" s="44">
        <v>1</v>
      </c>
      <c r="BP13" s="41">
        <v>0.88</v>
      </c>
      <c r="BQ13" s="41">
        <v>1</v>
      </c>
      <c r="BR13" s="41">
        <v>0</v>
      </c>
      <c r="BS13" s="41">
        <v>0.03</v>
      </c>
      <c r="BT13" s="41">
        <v>1</v>
      </c>
      <c r="BU13" s="41">
        <v>26</v>
      </c>
      <c r="BV13" s="41">
        <v>1</v>
      </c>
      <c r="BW13" s="41">
        <v>0.467</v>
      </c>
      <c r="BX13" s="41">
        <v>0.5</v>
      </c>
      <c r="BY13" s="41">
        <v>0.8</v>
      </c>
      <c r="BZ13" s="41">
        <v>0.5</v>
      </c>
      <c r="CA13" s="41">
        <v>1</v>
      </c>
      <c r="CB13" s="41">
        <v>1</v>
      </c>
      <c r="CC13" s="41">
        <v>1</v>
      </c>
      <c r="CD13" s="41">
        <v>8</v>
      </c>
      <c r="CE13" s="41">
        <v>32</v>
      </c>
      <c r="CF13" s="41">
        <v>9999</v>
      </c>
      <c r="CG13" s="41">
        <v>1</v>
      </c>
      <c r="CH13" s="41">
        <v>1.2</v>
      </c>
      <c r="CI13" s="41">
        <v>5</v>
      </c>
      <c r="CJ13" s="41">
        <v>0.05</v>
      </c>
      <c r="CK13" s="41">
        <v>20</v>
      </c>
      <c r="CL13" s="41">
        <v>0.1</v>
      </c>
      <c r="CM13" s="41">
        <v>0.1</v>
      </c>
      <c r="CN13" s="41">
        <v>30</v>
      </c>
      <c r="CO13" s="41">
        <v>30</v>
      </c>
      <c r="CP13" s="41" t="s">
        <v>209</v>
      </c>
      <c r="CQ13" s="41">
        <v>0</v>
      </c>
      <c r="CR13" s="41">
        <v>0</v>
      </c>
      <c r="CS13" s="51">
        <v>75</v>
      </c>
      <c r="CT13" s="52">
        <v>1</v>
      </c>
      <c r="CU13" s="51">
        <v>5.59</v>
      </c>
    </row>
    <row r="14" spans="1:99">
      <c r="A14" s="16" t="s">
        <v>204</v>
      </c>
      <c r="B14" s="17" t="str">
        <f t="shared" si="10"/>
        <v>100701</v>
      </c>
      <c r="C14" s="43" t="s">
        <v>205</v>
      </c>
      <c r="D14" s="18">
        <v>1007</v>
      </c>
      <c r="E14" s="4">
        <v>1</v>
      </c>
      <c r="F14" s="4" t="s">
        <v>222</v>
      </c>
      <c r="G14" s="19">
        <v>0</v>
      </c>
      <c r="H14" s="19">
        <v>0.4</v>
      </c>
      <c r="I14" s="19">
        <f t="shared" si="0"/>
        <v>0.00635</v>
      </c>
      <c r="J14" s="20">
        <v>0.0038</v>
      </c>
      <c r="K14" s="19">
        <f>L14/2</f>
        <v>0.00127</v>
      </c>
      <c r="L14" s="20">
        <v>0.00254</v>
      </c>
      <c r="M14" s="20">
        <v>0.00348</v>
      </c>
      <c r="N14" s="20">
        <v>0.00222</v>
      </c>
      <c r="O14" s="19">
        <v>0</v>
      </c>
      <c r="P14" s="19">
        <v>0</v>
      </c>
      <c r="Q14" s="19">
        <f t="shared" si="1"/>
        <v>0.00348</v>
      </c>
      <c r="R14" s="19">
        <f t="shared" si="2"/>
        <v>0.00348</v>
      </c>
      <c r="S14" s="19">
        <f t="shared" si="3"/>
        <v>0.092544</v>
      </c>
      <c r="T14" s="19">
        <f t="shared" si="4"/>
        <v>0.0382928</v>
      </c>
      <c r="U14" s="19">
        <f t="shared" si="5"/>
        <v>0.0197017180327869</v>
      </c>
      <c r="V14" s="20">
        <f>0.07712-Q14</f>
        <v>0.07364</v>
      </c>
      <c r="W14" s="19">
        <v>0</v>
      </c>
      <c r="X14" s="19">
        <v>0</v>
      </c>
      <c r="Y14" s="19">
        <f t="shared" si="6"/>
        <v>0.0472932444444445</v>
      </c>
      <c r="Z14" s="19">
        <f t="shared" si="7"/>
        <v>0.0250376</v>
      </c>
      <c r="AA14" s="19">
        <f t="shared" si="8"/>
        <v>0.046272</v>
      </c>
      <c r="AB14" s="19">
        <f t="shared" si="9"/>
        <v>0.0123392</v>
      </c>
      <c r="AC14" s="20">
        <f>0.23136*0.6</f>
        <v>0.138816</v>
      </c>
      <c r="AD14" s="19">
        <v>1</v>
      </c>
      <c r="AE14" s="19">
        <v>1</v>
      </c>
      <c r="AF14" s="21">
        <v>1</v>
      </c>
      <c r="AG14" s="44">
        <v>1</v>
      </c>
      <c r="AH14" s="44">
        <v>0</v>
      </c>
      <c r="AI14" s="44">
        <v>35</v>
      </c>
      <c r="AJ14" s="44">
        <v>10</v>
      </c>
      <c r="AK14" s="53" t="s">
        <v>223</v>
      </c>
      <c r="AL14" s="44" t="s">
        <v>224</v>
      </c>
      <c r="AM14" s="44" t="s">
        <v>225</v>
      </c>
      <c r="AN14" s="44">
        <v>5</v>
      </c>
      <c r="AO14" s="44">
        <v>0.65</v>
      </c>
      <c r="AP14" s="44">
        <v>1</v>
      </c>
      <c r="AQ14" s="44">
        <v>1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6</v>
      </c>
      <c r="BD14" s="44">
        <v>0</v>
      </c>
      <c r="BE14" s="44">
        <v>0</v>
      </c>
      <c r="BF14" s="44">
        <v>0</v>
      </c>
      <c r="BG14" s="44" t="s">
        <v>209</v>
      </c>
      <c r="BH14" s="44">
        <v>0.6</v>
      </c>
      <c r="BI14" s="44">
        <v>7</v>
      </c>
      <c r="BJ14" s="44">
        <v>2</v>
      </c>
      <c r="BK14" s="44">
        <v>2</v>
      </c>
      <c r="BL14" s="44">
        <v>2</v>
      </c>
      <c r="BM14" s="44">
        <v>12.7</v>
      </c>
      <c r="BN14" s="44">
        <v>30</v>
      </c>
      <c r="BO14" s="44">
        <v>1</v>
      </c>
      <c r="BP14" s="41">
        <v>0.35</v>
      </c>
      <c r="BQ14" s="41">
        <v>1</v>
      </c>
      <c r="BR14" s="41">
        <v>0</v>
      </c>
      <c r="BS14" s="41">
        <v>0.03</v>
      </c>
      <c r="BT14" s="41">
        <v>1</v>
      </c>
      <c r="BU14" s="41">
        <v>20</v>
      </c>
      <c r="BV14" s="41">
        <v>1</v>
      </c>
      <c r="BW14" s="41">
        <v>0.6</v>
      </c>
      <c r="BX14" s="41">
        <v>0.5</v>
      </c>
      <c r="BY14" s="41">
        <v>0.667</v>
      </c>
      <c r="BZ14" s="41">
        <v>0.5</v>
      </c>
      <c r="CA14" s="41">
        <v>1</v>
      </c>
      <c r="CB14" s="41">
        <v>1</v>
      </c>
      <c r="CC14" s="41">
        <v>1</v>
      </c>
      <c r="CD14" s="41">
        <v>7</v>
      </c>
      <c r="CE14" s="41">
        <v>32</v>
      </c>
      <c r="CF14" s="41">
        <v>9999</v>
      </c>
      <c r="CG14" s="41">
        <v>1</v>
      </c>
      <c r="CH14" s="41">
        <v>1.2</v>
      </c>
      <c r="CI14" s="41">
        <v>5</v>
      </c>
      <c r="CJ14" s="41">
        <v>0.05</v>
      </c>
      <c r="CK14" s="41">
        <v>20</v>
      </c>
      <c r="CL14" s="41">
        <v>0.1</v>
      </c>
      <c r="CM14" s="41">
        <v>0.1</v>
      </c>
      <c r="CN14" s="41">
        <v>30</v>
      </c>
      <c r="CO14" s="41">
        <v>30</v>
      </c>
      <c r="CP14" s="41" t="s">
        <v>208</v>
      </c>
      <c r="CQ14" s="41">
        <v>0</v>
      </c>
      <c r="CR14" s="41">
        <v>0</v>
      </c>
      <c r="CS14" s="51">
        <v>75</v>
      </c>
      <c r="CT14" s="52">
        <v>1.6</v>
      </c>
      <c r="CU14" s="51">
        <v>5.46</v>
      </c>
    </row>
    <row r="15" spans="1:99">
      <c r="A15" s="16" t="s">
        <v>204</v>
      </c>
      <c r="B15" s="17" t="str">
        <f t="shared" si="10"/>
        <v>100801</v>
      </c>
      <c r="C15" s="43" t="s">
        <v>205</v>
      </c>
      <c r="D15" s="18">
        <v>1008</v>
      </c>
      <c r="E15" s="4">
        <v>1</v>
      </c>
      <c r="F15" s="4" t="s">
        <v>226</v>
      </c>
      <c r="G15" s="19">
        <v>0</v>
      </c>
      <c r="H15" s="19">
        <v>0.4</v>
      </c>
      <c r="I15" s="19">
        <f t="shared" si="0"/>
        <v>0.00686666666666665</v>
      </c>
      <c r="J15" s="20">
        <v>0.001</v>
      </c>
      <c r="K15" s="19">
        <f t="shared" ref="K15:K20" si="11">L15/3</f>
        <v>0.00137333333333333</v>
      </c>
      <c r="L15" s="20">
        <v>0.00412</v>
      </c>
      <c r="M15" s="20">
        <v>0.01325</v>
      </c>
      <c r="N15" s="20">
        <v>0.01008</v>
      </c>
      <c r="O15" s="19">
        <v>0</v>
      </c>
      <c r="P15" s="19">
        <v>0</v>
      </c>
      <c r="Q15" s="19">
        <f t="shared" si="1"/>
        <v>0.01325</v>
      </c>
      <c r="R15" s="19">
        <f t="shared" si="2"/>
        <v>0.01325</v>
      </c>
      <c r="S15" s="19">
        <f t="shared" si="3"/>
        <v>0.036208</v>
      </c>
      <c r="T15" s="19">
        <f t="shared" si="4"/>
        <v>0.015002</v>
      </c>
      <c r="U15" s="19">
        <f t="shared" si="5"/>
        <v>0.00771855737704918</v>
      </c>
      <c r="V15" s="20">
        <f>0.0421-Q15</f>
        <v>0.02885</v>
      </c>
      <c r="W15" s="19">
        <v>0</v>
      </c>
      <c r="X15" s="19">
        <v>0</v>
      </c>
      <c r="Y15" s="19">
        <f t="shared" si="6"/>
        <v>0.0185281111111111</v>
      </c>
      <c r="Z15" s="19">
        <f t="shared" si="7"/>
        <v>0.009809</v>
      </c>
      <c r="AA15" s="19">
        <f t="shared" si="8"/>
        <v>0.018104</v>
      </c>
      <c r="AB15" s="19">
        <f t="shared" si="9"/>
        <v>0.00482773333333333</v>
      </c>
      <c r="AC15" s="20">
        <f>0.09052*0.6</f>
        <v>0.054312</v>
      </c>
      <c r="AD15" s="19">
        <v>1</v>
      </c>
      <c r="AE15" s="19">
        <v>1</v>
      </c>
      <c r="AF15" s="21">
        <v>1</v>
      </c>
      <c r="AG15" s="44">
        <v>1</v>
      </c>
      <c r="AH15" s="44">
        <v>15</v>
      </c>
      <c r="AI15" s="44">
        <v>35</v>
      </c>
      <c r="AJ15" s="44">
        <v>10</v>
      </c>
      <c r="AK15" s="44" t="s">
        <v>227</v>
      </c>
      <c r="AL15" s="44">
        <v>0</v>
      </c>
      <c r="AM15" s="26" t="s">
        <v>228</v>
      </c>
      <c r="AN15" s="44">
        <v>0.5</v>
      </c>
      <c r="AO15" s="44">
        <v>0.65</v>
      </c>
      <c r="AP15" s="44">
        <v>0.72</v>
      </c>
      <c r="AQ15" s="44">
        <v>0.675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 t="s">
        <v>208</v>
      </c>
      <c r="BH15" s="44">
        <v>0</v>
      </c>
      <c r="BI15" s="44">
        <v>0</v>
      </c>
      <c r="BJ15" s="44">
        <v>0.7</v>
      </c>
      <c r="BK15" s="44">
        <v>0.7</v>
      </c>
      <c r="BL15" s="44">
        <v>0.7</v>
      </c>
      <c r="BM15" s="44">
        <v>12.7</v>
      </c>
      <c r="BN15" s="44">
        <v>25</v>
      </c>
      <c r="BO15" s="44">
        <v>1</v>
      </c>
      <c r="BP15" s="41">
        <v>0.075</v>
      </c>
      <c r="BQ15" s="41">
        <v>1</v>
      </c>
      <c r="BR15" s="41">
        <v>0</v>
      </c>
      <c r="BS15" s="41">
        <v>0.03</v>
      </c>
      <c r="BT15" s="41">
        <v>1</v>
      </c>
      <c r="BU15" s="41">
        <v>29</v>
      </c>
      <c r="BV15" s="41">
        <v>1</v>
      </c>
      <c r="BW15" s="41">
        <v>1.5</v>
      </c>
      <c r="BX15" s="41">
        <v>3.43</v>
      </c>
      <c r="BY15" s="41">
        <v>0</v>
      </c>
      <c r="BZ15" s="41">
        <v>0</v>
      </c>
      <c r="CA15" s="41">
        <v>1</v>
      </c>
      <c r="CB15" s="41">
        <v>1</v>
      </c>
      <c r="CC15" s="41">
        <v>1</v>
      </c>
      <c r="CD15" s="41">
        <v>25</v>
      </c>
      <c r="CE15" s="41">
        <v>100</v>
      </c>
      <c r="CF15" s="41">
        <v>9999</v>
      </c>
      <c r="CG15" s="41">
        <v>1</v>
      </c>
      <c r="CH15" s="41">
        <v>1.2</v>
      </c>
      <c r="CI15" s="41">
        <v>5</v>
      </c>
      <c r="CJ15" s="41">
        <v>0.05</v>
      </c>
      <c r="CK15" s="41">
        <v>20</v>
      </c>
      <c r="CL15" s="41">
        <v>0.1</v>
      </c>
      <c r="CM15" s="41">
        <v>0.1</v>
      </c>
      <c r="CN15" s="41">
        <v>30</v>
      </c>
      <c r="CO15" s="41">
        <v>30</v>
      </c>
      <c r="CP15" s="41" t="s">
        <v>208</v>
      </c>
      <c r="CQ15" s="41">
        <v>0</v>
      </c>
      <c r="CR15" s="41">
        <v>0</v>
      </c>
      <c r="CS15" s="51">
        <v>90</v>
      </c>
      <c r="CT15" s="51">
        <v>1.15</v>
      </c>
      <c r="CU15" s="51">
        <v>6.09</v>
      </c>
    </row>
    <row r="16" spans="1:99">
      <c r="A16" s="16" t="s">
        <v>204</v>
      </c>
      <c r="B16" s="17" t="str">
        <f t="shared" si="10"/>
        <v>100901</v>
      </c>
      <c r="C16" s="43" t="s">
        <v>205</v>
      </c>
      <c r="D16" s="18">
        <v>1009</v>
      </c>
      <c r="E16" s="4">
        <v>1</v>
      </c>
      <c r="F16" s="4" t="s">
        <v>229</v>
      </c>
      <c r="G16" s="19">
        <v>0</v>
      </c>
      <c r="H16" s="19">
        <v>0.4</v>
      </c>
      <c r="I16" s="19">
        <f t="shared" si="0"/>
        <v>0.00685</v>
      </c>
      <c r="J16" s="20">
        <v>0.0006</v>
      </c>
      <c r="K16" s="19">
        <f t="shared" si="11"/>
        <v>0.00137</v>
      </c>
      <c r="L16" s="20">
        <v>0.00411</v>
      </c>
      <c r="M16" s="20">
        <v>0.01017</v>
      </c>
      <c r="N16" s="20">
        <v>0.00637</v>
      </c>
      <c r="O16" s="19">
        <v>0</v>
      </c>
      <c r="P16" s="19">
        <v>0</v>
      </c>
      <c r="Q16" s="19">
        <f t="shared" si="1"/>
        <v>0.01017</v>
      </c>
      <c r="R16" s="19">
        <f t="shared" si="2"/>
        <v>0.01017</v>
      </c>
      <c r="S16" s="19">
        <f t="shared" si="3"/>
        <v>0.0770296</v>
      </c>
      <c r="T16" s="19">
        <f t="shared" si="4"/>
        <v>0.0205764</v>
      </c>
      <c r="U16" s="19">
        <f t="shared" si="5"/>
        <v>0.0105865967213115</v>
      </c>
      <c r="V16" s="20">
        <v>0.03957</v>
      </c>
      <c r="W16" s="19">
        <v>0</v>
      </c>
      <c r="X16" s="19">
        <v>0</v>
      </c>
      <c r="Y16" s="19">
        <f t="shared" si="6"/>
        <v>0.0254127333333333</v>
      </c>
      <c r="Z16" s="19">
        <f t="shared" si="7"/>
        <v>0.0134538</v>
      </c>
      <c r="AA16" s="19">
        <f t="shared" si="8"/>
        <v>0.0385148</v>
      </c>
      <c r="AB16" s="19">
        <f t="shared" si="9"/>
        <v>0.0102706133333333</v>
      </c>
      <c r="AC16" s="20">
        <v>0.1155444</v>
      </c>
      <c r="AD16" s="19">
        <v>1</v>
      </c>
      <c r="AE16" s="19">
        <v>1</v>
      </c>
      <c r="AF16" s="21">
        <v>1</v>
      </c>
      <c r="AG16" s="44">
        <v>1</v>
      </c>
      <c r="AH16" s="44">
        <v>22</v>
      </c>
      <c r="AI16" s="44">
        <v>35</v>
      </c>
      <c r="AJ16" s="44">
        <v>10</v>
      </c>
      <c r="AK16" s="53" t="s">
        <v>230</v>
      </c>
      <c r="AL16" s="44">
        <v>0</v>
      </c>
      <c r="AM16" s="26" t="s">
        <v>228</v>
      </c>
      <c r="AN16" s="44">
        <v>0.5</v>
      </c>
      <c r="AO16" s="44">
        <v>0.65</v>
      </c>
      <c r="AP16" s="44">
        <v>0.72</v>
      </c>
      <c r="AQ16" s="44">
        <v>0.675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 t="s">
        <v>208</v>
      </c>
      <c r="BH16" s="44">
        <v>0</v>
      </c>
      <c r="BI16" s="44">
        <v>0</v>
      </c>
      <c r="BJ16" s="44">
        <v>0.7</v>
      </c>
      <c r="BK16" s="44">
        <v>0.7</v>
      </c>
      <c r="BL16" s="44">
        <v>0.7</v>
      </c>
      <c r="BM16" s="44">
        <v>12.7</v>
      </c>
      <c r="BN16" s="44">
        <v>15</v>
      </c>
      <c r="BO16" s="44">
        <v>1</v>
      </c>
      <c r="BP16" s="41">
        <v>0.08</v>
      </c>
      <c r="BQ16" s="41">
        <v>1</v>
      </c>
      <c r="BR16" s="41">
        <v>0</v>
      </c>
      <c r="BS16" s="41">
        <v>0.03</v>
      </c>
      <c r="BT16" s="41">
        <v>1</v>
      </c>
      <c r="BU16" s="41">
        <v>27</v>
      </c>
      <c r="BV16" s="41">
        <v>1</v>
      </c>
      <c r="BW16" s="41">
        <v>1.97</v>
      </c>
      <c r="BX16" s="41">
        <v>2.94</v>
      </c>
      <c r="BY16" s="41">
        <v>0</v>
      </c>
      <c r="BZ16" s="41">
        <v>0</v>
      </c>
      <c r="CA16" s="41">
        <v>1</v>
      </c>
      <c r="CB16" s="41">
        <v>1</v>
      </c>
      <c r="CC16" s="41">
        <v>1</v>
      </c>
      <c r="CD16" s="41">
        <v>30</v>
      </c>
      <c r="CE16" s="41">
        <v>120</v>
      </c>
      <c r="CF16" s="41">
        <v>9999</v>
      </c>
      <c r="CG16" s="41">
        <v>1</v>
      </c>
      <c r="CH16" s="41">
        <v>1.2</v>
      </c>
      <c r="CI16" s="41">
        <v>5</v>
      </c>
      <c r="CJ16" s="41">
        <v>0.05</v>
      </c>
      <c r="CK16" s="41">
        <v>20</v>
      </c>
      <c r="CL16" s="41">
        <v>0.1</v>
      </c>
      <c r="CM16" s="41">
        <v>0.1</v>
      </c>
      <c r="CN16" s="41">
        <v>30</v>
      </c>
      <c r="CO16" s="41">
        <v>30</v>
      </c>
      <c r="CP16" s="41" t="s">
        <v>208</v>
      </c>
      <c r="CQ16" s="41">
        <v>0</v>
      </c>
      <c r="CR16" s="41">
        <v>0</v>
      </c>
      <c r="CS16" s="51">
        <v>90</v>
      </c>
      <c r="CT16" s="51">
        <v>1.25</v>
      </c>
      <c r="CU16" s="51">
        <v>5.97</v>
      </c>
    </row>
    <row r="17" spans="1:99">
      <c r="A17" s="16" t="s">
        <v>204</v>
      </c>
      <c r="B17" s="17" t="str">
        <f t="shared" si="10"/>
        <v>101001</v>
      </c>
      <c r="C17" s="43" t="s">
        <v>205</v>
      </c>
      <c r="D17" s="18">
        <v>1010</v>
      </c>
      <c r="E17" s="4">
        <v>1</v>
      </c>
      <c r="F17" s="4" t="s">
        <v>231</v>
      </c>
      <c r="G17" s="19">
        <v>0</v>
      </c>
      <c r="H17" s="19">
        <v>0.4</v>
      </c>
      <c r="I17" s="19">
        <f t="shared" si="0"/>
        <v>0.00896666666666665</v>
      </c>
      <c r="J17" s="20">
        <v>0.001</v>
      </c>
      <c r="K17" s="19">
        <f t="shared" si="11"/>
        <v>0.00179333333333333</v>
      </c>
      <c r="L17" s="20">
        <v>0.00538</v>
      </c>
      <c r="M17" s="20">
        <v>0.01325</v>
      </c>
      <c r="N17" s="20">
        <v>0.01008</v>
      </c>
      <c r="O17" s="19">
        <v>0</v>
      </c>
      <c r="P17" s="19">
        <v>0</v>
      </c>
      <c r="Q17" s="19">
        <f t="shared" si="1"/>
        <v>0.01325</v>
      </c>
      <c r="R17" s="19">
        <f t="shared" si="2"/>
        <v>0.01325</v>
      </c>
      <c r="S17" s="19">
        <f t="shared" si="3"/>
        <v>0.068848</v>
      </c>
      <c r="T17" s="19">
        <f t="shared" si="4"/>
        <v>0.0164788</v>
      </c>
      <c r="U17" s="19">
        <f t="shared" si="5"/>
        <v>0.00847837377049181</v>
      </c>
      <c r="V17" s="20">
        <f>0.04494-Q17</f>
        <v>0.03169</v>
      </c>
      <c r="W17" s="19">
        <v>0</v>
      </c>
      <c r="X17" s="19">
        <v>0</v>
      </c>
      <c r="Y17" s="19">
        <f t="shared" si="6"/>
        <v>0.0203520222222222</v>
      </c>
      <c r="Z17" s="19">
        <f t="shared" si="7"/>
        <v>0.0107746</v>
      </c>
      <c r="AA17" s="19">
        <f t="shared" si="8"/>
        <v>0.034424</v>
      </c>
      <c r="AB17" s="19">
        <f t="shared" si="9"/>
        <v>0.00917973333333333</v>
      </c>
      <c r="AC17" s="20">
        <f>0.17212*0.6</f>
        <v>0.103272</v>
      </c>
      <c r="AD17" s="19">
        <v>1</v>
      </c>
      <c r="AE17" s="19">
        <v>1</v>
      </c>
      <c r="AF17" s="21">
        <v>1</v>
      </c>
      <c r="AG17" s="44">
        <v>1</v>
      </c>
      <c r="AH17" s="44">
        <v>42</v>
      </c>
      <c r="AI17" s="44">
        <v>35</v>
      </c>
      <c r="AJ17" s="44">
        <v>10</v>
      </c>
      <c r="AK17" s="44" t="s">
        <v>232</v>
      </c>
      <c r="AL17" s="44">
        <v>0</v>
      </c>
      <c r="AM17" s="26" t="s">
        <v>228</v>
      </c>
      <c r="AN17" s="44">
        <v>0.5</v>
      </c>
      <c r="AO17" s="44">
        <v>0.65</v>
      </c>
      <c r="AP17" s="44">
        <v>0.468</v>
      </c>
      <c r="AQ17" s="44">
        <v>0.43875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 t="s">
        <v>208</v>
      </c>
      <c r="BH17" s="44">
        <v>0</v>
      </c>
      <c r="BI17" s="44">
        <v>0</v>
      </c>
      <c r="BJ17" s="44">
        <v>0.8</v>
      </c>
      <c r="BK17" s="44">
        <v>0.8</v>
      </c>
      <c r="BL17" s="44">
        <v>0.8</v>
      </c>
      <c r="BM17" s="44">
        <v>12.7</v>
      </c>
      <c r="BN17" s="44">
        <v>14</v>
      </c>
      <c r="BO17" s="44">
        <v>1</v>
      </c>
      <c r="BP17" s="41">
        <v>0.07</v>
      </c>
      <c r="BQ17" s="41">
        <v>1</v>
      </c>
      <c r="BR17" s="41">
        <v>0</v>
      </c>
      <c r="BS17" s="41" t="s">
        <v>233</v>
      </c>
      <c r="BT17" s="41">
        <v>1</v>
      </c>
      <c r="BU17" s="41">
        <v>26</v>
      </c>
      <c r="BV17" s="41">
        <v>1</v>
      </c>
      <c r="BW17" s="41">
        <v>1.97</v>
      </c>
      <c r="BX17" s="41">
        <v>3.37</v>
      </c>
      <c r="BY17" s="41">
        <v>0</v>
      </c>
      <c r="BZ17" s="41">
        <v>0</v>
      </c>
      <c r="CA17" s="41">
        <v>1</v>
      </c>
      <c r="CB17" s="41">
        <v>1</v>
      </c>
      <c r="CC17" s="41">
        <v>1</v>
      </c>
      <c r="CD17" s="41">
        <v>50</v>
      </c>
      <c r="CE17" s="41">
        <v>100</v>
      </c>
      <c r="CF17" s="41">
        <v>9999</v>
      </c>
      <c r="CG17" s="41">
        <v>1</v>
      </c>
      <c r="CH17" s="41">
        <v>1.2</v>
      </c>
      <c r="CI17" s="41">
        <v>5</v>
      </c>
      <c r="CJ17" s="41">
        <v>0.05</v>
      </c>
      <c r="CK17" s="41">
        <v>20</v>
      </c>
      <c r="CL17" s="41">
        <v>0.1</v>
      </c>
      <c r="CM17" s="41">
        <v>0.1</v>
      </c>
      <c r="CN17" s="41">
        <v>30</v>
      </c>
      <c r="CO17" s="41">
        <v>30</v>
      </c>
      <c r="CP17" s="41" t="s">
        <v>208</v>
      </c>
      <c r="CQ17" s="41">
        <v>0</v>
      </c>
      <c r="CR17" s="41">
        <v>0</v>
      </c>
      <c r="CS17" s="51">
        <v>92.5</v>
      </c>
      <c r="CT17" s="51">
        <v>1.38</v>
      </c>
      <c r="CU17" s="51">
        <v>5.84</v>
      </c>
    </row>
    <row r="18" spans="1:99">
      <c r="A18" s="16" t="s">
        <v>204</v>
      </c>
      <c r="B18" s="17" t="str">
        <f t="shared" si="10"/>
        <v>101101</v>
      </c>
      <c r="C18" s="43" t="s">
        <v>205</v>
      </c>
      <c r="D18" s="18">
        <v>1011</v>
      </c>
      <c r="E18" s="4">
        <v>1</v>
      </c>
      <c r="F18" s="4" t="s">
        <v>234</v>
      </c>
      <c r="G18" s="19">
        <v>0</v>
      </c>
      <c r="H18" s="19">
        <v>0.4</v>
      </c>
      <c r="I18" s="19">
        <f t="shared" si="0"/>
        <v>0.0184666666666667</v>
      </c>
      <c r="J18" s="20">
        <v>0.0006</v>
      </c>
      <c r="K18" s="19">
        <f t="shared" si="11"/>
        <v>0.00369333333333333</v>
      </c>
      <c r="L18" s="20">
        <v>0.01108</v>
      </c>
      <c r="M18" s="20">
        <v>0.00542</v>
      </c>
      <c r="N18" s="20">
        <v>0.00447</v>
      </c>
      <c r="O18" s="19">
        <v>0</v>
      </c>
      <c r="P18" s="19">
        <v>0</v>
      </c>
      <c r="Q18" s="19">
        <f t="shared" si="1"/>
        <v>0.00542</v>
      </c>
      <c r="R18" s="19">
        <f t="shared" si="2"/>
        <v>0.00542</v>
      </c>
      <c r="S18" s="19">
        <f t="shared" si="3"/>
        <v>0.070152</v>
      </c>
      <c r="T18" s="19">
        <f t="shared" si="4"/>
        <v>0.0662688</v>
      </c>
      <c r="U18" s="19">
        <f t="shared" si="5"/>
        <v>0.0340954229508197</v>
      </c>
      <c r="V18" s="20">
        <f>0.13286-Q18</f>
        <v>0.12744</v>
      </c>
      <c r="W18" s="19">
        <v>0</v>
      </c>
      <c r="X18" s="19">
        <v>0</v>
      </c>
      <c r="Y18" s="19">
        <f t="shared" si="6"/>
        <v>0.0818448</v>
      </c>
      <c r="Z18" s="19">
        <f t="shared" si="7"/>
        <v>0.0433296</v>
      </c>
      <c r="AA18" s="19">
        <f t="shared" si="8"/>
        <v>0.035076</v>
      </c>
      <c r="AB18" s="19">
        <f t="shared" si="9"/>
        <v>0.0093536</v>
      </c>
      <c r="AC18" s="20">
        <f>0.17538*0.6</f>
        <v>0.105228</v>
      </c>
      <c r="AD18" s="19">
        <v>1</v>
      </c>
      <c r="AE18" s="19">
        <v>1</v>
      </c>
      <c r="AF18" s="21">
        <v>1</v>
      </c>
      <c r="AG18" s="44">
        <v>1</v>
      </c>
      <c r="AH18" s="44">
        <v>17</v>
      </c>
      <c r="AI18" s="44">
        <v>40</v>
      </c>
      <c r="AJ18" s="44">
        <v>10</v>
      </c>
      <c r="AK18" s="54" t="s">
        <v>235</v>
      </c>
      <c r="AL18" s="44">
        <v>0</v>
      </c>
      <c r="AM18" s="26" t="s">
        <v>228</v>
      </c>
      <c r="AN18" s="44">
        <v>0.5</v>
      </c>
      <c r="AO18" s="44">
        <v>1</v>
      </c>
      <c r="AP18" s="44">
        <v>0.468</v>
      </c>
      <c r="AQ18" s="44">
        <v>0.43875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 t="s">
        <v>208</v>
      </c>
      <c r="BH18" s="44">
        <v>0</v>
      </c>
      <c r="BI18" s="44">
        <v>0</v>
      </c>
      <c r="BJ18" s="44">
        <v>1</v>
      </c>
      <c r="BK18" s="44">
        <v>1</v>
      </c>
      <c r="BL18" s="44">
        <v>1</v>
      </c>
      <c r="BM18" s="44">
        <v>12.7</v>
      </c>
      <c r="BN18" s="44">
        <v>3</v>
      </c>
      <c r="BO18" s="44">
        <v>2</v>
      </c>
      <c r="BP18" s="41">
        <v>0.09</v>
      </c>
      <c r="BQ18" s="41">
        <v>1</v>
      </c>
      <c r="BR18" s="41">
        <v>0</v>
      </c>
      <c r="BS18" s="41">
        <v>0.03</v>
      </c>
      <c r="BT18" s="41">
        <v>1</v>
      </c>
      <c r="BU18" s="41">
        <v>33</v>
      </c>
      <c r="BV18" s="41">
        <v>1</v>
      </c>
      <c r="BW18" s="41">
        <v>1.37</v>
      </c>
      <c r="BX18" s="41">
        <v>3.07</v>
      </c>
      <c r="BY18" s="41">
        <v>0</v>
      </c>
      <c r="BZ18" s="41">
        <v>0</v>
      </c>
      <c r="CA18" s="41">
        <v>1</v>
      </c>
      <c r="CB18" s="41">
        <v>1.13</v>
      </c>
      <c r="CC18" s="41">
        <v>1</v>
      </c>
      <c r="CD18" s="41">
        <v>30</v>
      </c>
      <c r="CE18" s="41">
        <v>90</v>
      </c>
      <c r="CF18" s="41">
        <v>9999</v>
      </c>
      <c r="CG18" s="41">
        <v>1</v>
      </c>
      <c r="CH18" s="41">
        <v>1.2</v>
      </c>
      <c r="CI18" s="41">
        <v>5</v>
      </c>
      <c r="CJ18" s="41">
        <v>0.05</v>
      </c>
      <c r="CK18" s="41">
        <v>20</v>
      </c>
      <c r="CL18" s="41">
        <v>0.1</v>
      </c>
      <c r="CM18" s="41">
        <v>0.1</v>
      </c>
      <c r="CN18" s="41">
        <v>30</v>
      </c>
      <c r="CO18" s="41">
        <v>30</v>
      </c>
      <c r="CP18" s="41" t="s">
        <v>208</v>
      </c>
      <c r="CQ18" s="41">
        <v>0</v>
      </c>
      <c r="CR18" s="41">
        <v>0</v>
      </c>
      <c r="CS18" s="51">
        <v>200</v>
      </c>
      <c r="CT18" s="52">
        <v>1.4</v>
      </c>
      <c r="CU18" s="51">
        <v>5.71</v>
      </c>
    </row>
    <row r="19" spans="1:99">
      <c r="A19" s="16" t="s">
        <v>204</v>
      </c>
      <c r="B19" s="17" t="str">
        <f t="shared" si="10"/>
        <v>101201</v>
      </c>
      <c r="C19" s="43" t="s">
        <v>205</v>
      </c>
      <c r="D19" s="18">
        <v>1012</v>
      </c>
      <c r="E19" s="4">
        <v>1</v>
      </c>
      <c r="F19" s="4" t="s">
        <v>236</v>
      </c>
      <c r="G19" s="19">
        <v>0</v>
      </c>
      <c r="H19" s="19">
        <v>0.4</v>
      </c>
      <c r="I19" s="19">
        <f t="shared" si="0"/>
        <v>0.0221666666666667</v>
      </c>
      <c r="J19" s="20">
        <v>0.0006</v>
      </c>
      <c r="K19" s="19">
        <f t="shared" si="11"/>
        <v>0.00443333333333333</v>
      </c>
      <c r="L19" s="20">
        <v>0.0133</v>
      </c>
      <c r="M19" s="20">
        <v>0.00637</v>
      </c>
      <c r="N19" s="20">
        <v>0.0051</v>
      </c>
      <c r="O19" s="19">
        <v>0</v>
      </c>
      <c r="P19" s="19">
        <v>0</v>
      </c>
      <c r="Q19" s="19">
        <f t="shared" si="1"/>
        <v>0.00637</v>
      </c>
      <c r="R19" s="19">
        <f t="shared" si="2"/>
        <v>0.00637</v>
      </c>
      <c r="S19" s="19">
        <f t="shared" si="3"/>
        <v>0.088456</v>
      </c>
      <c r="T19" s="19">
        <f t="shared" si="4"/>
        <v>0.0838032</v>
      </c>
      <c r="U19" s="19">
        <f t="shared" si="5"/>
        <v>0.0431169049180328</v>
      </c>
      <c r="V19" s="20">
        <f>0.16753-Q19</f>
        <v>0.16116</v>
      </c>
      <c r="W19" s="19">
        <v>0</v>
      </c>
      <c r="X19" s="19">
        <v>0</v>
      </c>
      <c r="Y19" s="19">
        <f t="shared" si="6"/>
        <v>0.103500533333333</v>
      </c>
      <c r="Z19" s="19">
        <f t="shared" si="7"/>
        <v>0.0547944</v>
      </c>
      <c r="AA19" s="19">
        <f t="shared" si="8"/>
        <v>0.044228</v>
      </c>
      <c r="AB19" s="19">
        <f t="shared" si="9"/>
        <v>0.0117941333333333</v>
      </c>
      <c r="AC19" s="20">
        <f>0.22114*0.6</f>
        <v>0.132684</v>
      </c>
      <c r="AD19" s="19">
        <v>1</v>
      </c>
      <c r="AE19" s="19">
        <v>1</v>
      </c>
      <c r="AF19" s="21">
        <v>1</v>
      </c>
      <c r="AG19" s="44">
        <v>1</v>
      </c>
      <c r="AH19" s="44">
        <v>15</v>
      </c>
      <c r="AI19" s="44">
        <v>40</v>
      </c>
      <c r="AJ19" s="44">
        <v>10</v>
      </c>
      <c r="AK19" s="44" t="s">
        <v>237</v>
      </c>
      <c r="AL19" s="44">
        <v>0</v>
      </c>
      <c r="AM19" s="26" t="s">
        <v>228</v>
      </c>
      <c r="AN19" s="44">
        <v>0.5</v>
      </c>
      <c r="AO19" s="44">
        <v>1.1</v>
      </c>
      <c r="AP19" s="44">
        <v>0.468</v>
      </c>
      <c r="AQ19" s="44">
        <v>0.4125</v>
      </c>
      <c r="AR19" s="44">
        <v>0</v>
      </c>
      <c r="AS19" s="44">
        <v>0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 t="s">
        <v>208</v>
      </c>
      <c r="BH19" s="44">
        <v>0</v>
      </c>
      <c r="BI19" s="44">
        <v>0</v>
      </c>
      <c r="BJ19" s="44">
        <v>1</v>
      </c>
      <c r="BK19" s="44">
        <v>1</v>
      </c>
      <c r="BL19" s="44">
        <v>1</v>
      </c>
      <c r="BM19" s="44">
        <v>12.7</v>
      </c>
      <c r="BN19" s="44">
        <v>2</v>
      </c>
      <c r="BO19" s="44">
        <v>2</v>
      </c>
      <c r="BP19" s="41">
        <v>0.1</v>
      </c>
      <c r="BQ19" s="41">
        <v>1</v>
      </c>
      <c r="BR19" s="41">
        <v>0</v>
      </c>
      <c r="BS19" s="41">
        <v>0.03</v>
      </c>
      <c r="BT19" s="41">
        <v>1</v>
      </c>
      <c r="BU19" s="41">
        <v>36</v>
      </c>
      <c r="BV19" s="41">
        <v>1</v>
      </c>
      <c r="BW19" s="41">
        <v>1.17</v>
      </c>
      <c r="BX19" s="41">
        <v>2.43</v>
      </c>
      <c r="BY19" s="41">
        <v>0</v>
      </c>
      <c r="BZ19" s="41">
        <v>0</v>
      </c>
      <c r="CA19" s="41">
        <v>1</v>
      </c>
      <c r="CB19" s="41">
        <v>1</v>
      </c>
      <c r="CC19" s="41">
        <v>1</v>
      </c>
      <c r="CD19" s="41">
        <v>30</v>
      </c>
      <c r="CE19" s="41">
        <v>90</v>
      </c>
      <c r="CF19" s="41">
        <v>9999</v>
      </c>
      <c r="CG19" s="41">
        <v>1</v>
      </c>
      <c r="CH19" s="41">
        <v>1.2</v>
      </c>
      <c r="CI19" s="41">
        <v>5</v>
      </c>
      <c r="CJ19" s="41">
        <v>0.05</v>
      </c>
      <c r="CK19" s="41">
        <v>20</v>
      </c>
      <c r="CL19" s="41">
        <v>0.1</v>
      </c>
      <c r="CM19" s="41">
        <v>0.1</v>
      </c>
      <c r="CN19" s="41">
        <v>30</v>
      </c>
      <c r="CO19" s="41">
        <v>30</v>
      </c>
      <c r="CP19" s="41" t="s">
        <v>208</v>
      </c>
      <c r="CQ19" s="41">
        <v>0</v>
      </c>
      <c r="CR19" s="41">
        <v>0</v>
      </c>
      <c r="CS19" s="51">
        <v>200</v>
      </c>
      <c r="CT19" s="51">
        <v>1.55</v>
      </c>
      <c r="CU19" s="51">
        <v>5.46</v>
      </c>
    </row>
    <row r="20" spans="1:99">
      <c r="A20" s="16" t="s">
        <v>204</v>
      </c>
      <c r="B20" s="17" t="str">
        <f t="shared" si="10"/>
        <v>101301</v>
      </c>
      <c r="C20" s="43" t="s">
        <v>205</v>
      </c>
      <c r="D20" s="18">
        <v>1013</v>
      </c>
      <c r="E20" s="4">
        <v>1</v>
      </c>
      <c r="F20" s="4" t="s">
        <v>238</v>
      </c>
      <c r="G20" s="19">
        <v>0</v>
      </c>
      <c r="H20" s="19">
        <v>0.4</v>
      </c>
      <c r="I20" s="19">
        <f t="shared" si="0"/>
        <v>0.0179333333333333</v>
      </c>
      <c r="J20" s="20">
        <v>0.0006</v>
      </c>
      <c r="K20" s="19">
        <f t="shared" si="11"/>
        <v>0.00358666666666667</v>
      </c>
      <c r="L20" s="20">
        <v>0.01076</v>
      </c>
      <c r="M20" s="20">
        <v>0.01017</v>
      </c>
      <c r="N20" s="20">
        <v>0.00763</v>
      </c>
      <c r="O20" s="19">
        <v>0</v>
      </c>
      <c r="P20" s="19">
        <v>0</v>
      </c>
      <c r="Q20" s="19">
        <f t="shared" si="1"/>
        <v>0.01017</v>
      </c>
      <c r="R20" s="19">
        <f t="shared" si="2"/>
        <v>0.01017</v>
      </c>
      <c r="S20" s="19">
        <f t="shared" si="3"/>
        <v>0.079836</v>
      </c>
      <c r="T20" s="19">
        <f t="shared" si="4"/>
        <v>0.0480376</v>
      </c>
      <c r="U20" s="19">
        <f t="shared" si="5"/>
        <v>0.0247154360655738</v>
      </c>
      <c r="V20" s="20">
        <f>0.10255-Q20</f>
        <v>0.09238</v>
      </c>
      <c r="W20" s="19">
        <v>0</v>
      </c>
      <c r="X20" s="19">
        <v>0</v>
      </c>
      <c r="Y20" s="19">
        <f t="shared" si="6"/>
        <v>0.0593284888888889</v>
      </c>
      <c r="Z20" s="19">
        <f t="shared" si="7"/>
        <v>0.0314092</v>
      </c>
      <c r="AA20" s="19">
        <f t="shared" si="8"/>
        <v>0.039918</v>
      </c>
      <c r="AB20" s="19">
        <f t="shared" si="9"/>
        <v>0.0106448</v>
      </c>
      <c r="AC20" s="20">
        <f>0.19959*0.6</f>
        <v>0.119754</v>
      </c>
      <c r="AD20" s="19">
        <v>1</v>
      </c>
      <c r="AE20" s="19">
        <v>1</v>
      </c>
      <c r="AF20" s="21">
        <v>1</v>
      </c>
      <c r="AG20" s="44">
        <v>1</v>
      </c>
      <c r="AH20" s="44">
        <v>23</v>
      </c>
      <c r="AI20" s="44">
        <v>35</v>
      </c>
      <c r="AJ20" s="44">
        <v>10</v>
      </c>
      <c r="AK20" s="44" t="s">
        <v>239</v>
      </c>
      <c r="AL20" s="44">
        <v>0</v>
      </c>
      <c r="AM20" s="26" t="s">
        <v>228</v>
      </c>
      <c r="AN20" s="44">
        <v>0.5</v>
      </c>
      <c r="AO20" s="44">
        <v>1</v>
      </c>
      <c r="AP20" s="44">
        <v>0.468</v>
      </c>
      <c r="AQ20" s="44">
        <v>0.43875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 t="s">
        <v>208</v>
      </c>
      <c r="BH20" s="44">
        <v>0</v>
      </c>
      <c r="BI20" s="44">
        <v>0</v>
      </c>
      <c r="BJ20" s="44">
        <v>0.7</v>
      </c>
      <c r="BK20" s="44">
        <v>0.7</v>
      </c>
      <c r="BL20" s="44">
        <v>0.7</v>
      </c>
      <c r="BM20" s="44">
        <v>12.7</v>
      </c>
      <c r="BN20" s="44">
        <v>4</v>
      </c>
      <c r="BO20" s="44">
        <v>2</v>
      </c>
      <c r="BP20" s="41">
        <v>0.09</v>
      </c>
      <c r="BQ20" s="41">
        <v>1</v>
      </c>
      <c r="BR20" s="41">
        <v>0</v>
      </c>
      <c r="BS20" s="41">
        <v>0.03</v>
      </c>
      <c r="BT20" s="41">
        <v>1</v>
      </c>
      <c r="BU20" s="41">
        <v>30</v>
      </c>
      <c r="BV20" s="41">
        <v>1</v>
      </c>
      <c r="BW20" s="41">
        <v>1.63</v>
      </c>
      <c r="BX20" s="41">
        <v>3.3</v>
      </c>
      <c r="BY20" s="41">
        <v>0</v>
      </c>
      <c r="BZ20" s="41">
        <v>0</v>
      </c>
      <c r="CA20" s="41">
        <v>1</v>
      </c>
      <c r="CB20" s="41">
        <v>1</v>
      </c>
      <c r="CC20" s="41">
        <v>1</v>
      </c>
      <c r="CD20" s="41">
        <v>25</v>
      </c>
      <c r="CE20" s="41">
        <v>90</v>
      </c>
      <c r="CF20" s="41">
        <v>9999</v>
      </c>
      <c r="CG20" s="41">
        <v>1</v>
      </c>
      <c r="CH20" s="41">
        <v>1.2</v>
      </c>
      <c r="CI20" s="41">
        <v>5</v>
      </c>
      <c r="CJ20" s="41">
        <v>0.05</v>
      </c>
      <c r="CK20" s="41">
        <v>20</v>
      </c>
      <c r="CL20" s="41">
        <v>0.1</v>
      </c>
      <c r="CM20" s="41">
        <v>0.1</v>
      </c>
      <c r="CN20" s="41">
        <v>30</v>
      </c>
      <c r="CO20" s="41">
        <v>30</v>
      </c>
      <c r="CP20" s="41" t="s">
        <v>208</v>
      </c>
      <c r="CQ20" s="41">
        <v>0</v>
      </c>
      <c r="CR20" s="41">
        <v>0</v>
      </c>
      <c r="CS20" s="51">
        <v>200</v>
      </c>
      <c r="CT20" s="52">
        <v>1.4</v>
      </c>
      <c r="CU20" s="51">
        <v>5.59</v>
      </c>
    </row>
    <row r="21" spans="1:99">
      <c r="A21" s="16" t="s">
        <v>204</v>
      </c>
      <c r="B21" s="17" t="str">
        <f t="shared" si="10"/>
        <v>101302</v>
      </c>
      <c r="C21" s="43" t="str">
        <f>IF(COUNTIF(B:B,B21)&gt;1,"重复","唯一")</f>
        <v>唯一</v>
      </c>
      <c r="D21" s="18">
        <v>1013</v>
      </c>
      <c r="E21" s="4">
        <v>2</v>
      </c>
      <c r="F21" s="4" t="s">
        <v>240</v>
      </c>
      <c r="G21" s="19">
        <v>0</v>
      </c>
      <c r="H21" s="19">
        <v>0.4</v>
      </c>
      <c r="I21" s="19">
        <f t="shared" si="0"/>
        <v>0.006125</v>
      </c>
      <c r="J21" s="20">
        <v>0.0006</v>
      </c>
      <c r="K21" s="19">
        <f>L21/2</f>
        <v>0.001225</v>
      </c>
      <c r="L21" s="20">
        <v>0.00245</v>
      </c>
      <c r="M21" s="20">
        <v>0.00447</v>
      </c>
      <c r="N21" s="20">
        <v>0.00415</v>
      </c>
      <c r="O21" s="19">
        <v>0</v>
      </c>
      <c r="P21" s="19">
        <v>0</v>
      </c>
      <c r="Q21" s="19">
        <f t="shared" si="1"/>
        <v>0.00447</v>
      </c>
      <c r="R21" s="19">
        <f t="shared" si="2"/>
        <v>0.00447</v>
      </c>
      <c r="S21" s="19">
        <f t="shared" si="3"/>
        <v>0.075848</v>
      </c>
      <c r="T21" s="19">
        <f t="shared" si="4"/>
        <v>0.0482404</v>
      </c>
      <c r="U21" s="19">
        <f t="shared" si="5"/>
        <v>0.0248197770491803</v>
      </c>
      <c r="V21" s="20">
        <f>0.09724-Q21</f>
        <v>0.09277</v>
      </c>
      <c r="W21" s="19">
        <v>0</v>
      </c>
      <c r="X21" s="19">
        <v>0</v>
      </c>
      <c r="Y21" s="19">
        <f t="shared" si="6"/>
        <v>0.0595789555555556</v>
      </c>
      <c r="Z21" s="19">
        <f t="shared" si="7"/>
        <v>0.0315418</v>
      </c>
      <c r="AA21" s="19">
        <f t="shared" si="8"/>
        <v>0.037924</v>
      </c>
      <c r="AB21" s="19">
        <f t="shared" si="9"/>
        <v>0.0101130666666667</v>
      </c>
      <c r="AC21" s="20">
        <f>0.18962*0.6</f>
        <v>0.113772</v>
      </c>
      <c r="AD21" s="19">
        <v>1</v>
      </c>
      <c r="AE21" s="19">
        <v>1</v>
      </c>
      <c r="AF21" s="21">
        <v>1</v>
      </c>
      <c r="AG21" s="44">
        <v>1</v>
      </c>
      <c r="AH21" s="44">
        <v>0</v>
      </c>
      <c r="AI21" s="44">
        <v>35</v>
      </c>
      <c r="AJ21" s="44">
        <v>10</v>
      </c>
      <c r="AK21" s="44">
        <v>0</v>
      </c>
      <c r="AL21" s="44">
        <v>0</v>
      </c>
      <c r="AM21" s="44" t="s">
        <v>241</v>
      </c>
      <c r="AN21" s="44">
        <v>0.5</v>
      </c>
      <c r="AO21" s="44">
        <v>0.65</v>
      </c>
      <c r="AP21" s="44">
        <v>1</v>
      </c>
      <c r="AQ21" s="44">
        <v>1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3</v>
      </c>
      <c r="BD21" s="44">
        <v>0.075</v>
      </c>
      <c r="BE21" s="44">
        <v>0</v>
      </c>
      <c r="BF21" s="44">
        <v>0</v>
      </c>
      <c r="BG21" s="44" t="s">
        <v>208</v>
      </c>
      <c r="BH21" s="44">
        <v>0</v>
      </c>
      <c r="BI21" s="44">
        <v>0</v>
      </c>
      <c r="BJ21" s="44">
        <v>0.5</v>
      </c>
      <c r="BK21" s="44">
        <v>0.5</v>
      </c>
      <c r="BL21" s="44">
        <v>0.5</v>
      </c>
      <c r="BM21" s="44">
        <v>12.7</v>
      </c>
      <c r="BN21" s="44">
        <v>4</v>
      </c>
      <c r="BO21" s="44">
        <v>2</v>
      </c>
      <c r="BP21" s="41">
        <v>0.55</v>
      </c>
      <c r="BQ21" s="41">
        <v>1</v>
      </c>
      <c r="BR21" s="41">
        <v>0</v>
      </c>
      <c r="BS21" s="41">
        <v>0.03</v>
      </c>
      <c r="BT21" s="41">
        <v>1</v>
      </c>
      <c r="BU21" s="41">
        <v>30</v>
      </c>
      <c r="BV21" s="41">
        <v>1</v>
      </c>
      <c r="BW21" s="41">
        <v>1.63</v>
      </c>
      <c r="BX21" s="41">
        <v>3.3</v>
      </c>
      <c r="BY21" s="41">
        <v>0</v>
      </c>
      <c r="BZ21" s="41">
        <v>0</v>
      </c>
      <c r="CA21" s="41">
        <v>1</v>
      </c>
      <c r="CB21" s="41">
        <v>1</v>
      </c>
      <c r="CC21" s="41">
        <v>1</v>
      </c>
      <c r="CD21" s="41">
        <v>25</v>
      </c>
      <c r="CE21" s="41">
        <v>90</v>
      </c>
      <c r="CF21" s="41">
        <v>9999</v>
      </c>
      <c r="CG21" s="41">
        <v>1</v>
      </c>
      <c r="CH21" s="41">
        <v>1.2</v>
      </c>
      <c r="CI21" s="41">
        <v>5</v>
      </c>
      <c r="CJ21" s="41">
        <v>0.05</v>
      </c>
      <c r="CK21" s="41">
        <v>20</v>
      </c>
      <c r="CL21" s="41">
        <v>0.1</v>
      </c>
      <c r="CM21" s="41">
        <v>0.1</v>
      </c>
      <c r="CN21" s="41">
        <v>30</v>
      </c>
      <c r="CO21" s="41">
        <v>30</v>
      </c>
      <c r="CP21" s="41" t="s">
        <v>208</v>
      </c>
      <c r="CQ21" s="41">
        <v>0</v>
      </c>
      <c r="CR21" s="41">
        <v>0</v>
      </c>
      <c r="CS21" s="51">
        <v>200</v>
      </c>
      <c r="CT21" s="52">
        <v>1.4</v>
      </c>
      <c r="CU21" s="51">
        <v>5.59</v>
      </c>
    </row>
    <row r="22" spans="1:99">
      <c r="A22" s="16" t="s">
        <v>204</v>
      </c>
      <c r="B22" s="17" t="str">
        <f t="shared" si="10"/>
        <v>101401</v>
      </c>
      <c r="C22" s="43" t="str">
        <f>IF(COUNTIF(B:B,B22)&gt;1,"重复","唯一")</f>
        <v>唯一</v>
      </c>
      <c r="D22" s="18">
        <v>1014</v>
      </c>
      <c r="E22" s="4">
        <v>1</v>
      </c>
      <c r="F22" s="4" t="s">
        <v>242</v>
      </c>
      <c r="G22" s="19">
        <v>0</v>
      </c>
      <c r="H22" s="19">
        <v>0.4</v>
      </c>
      <c r="I22" s="19">
        <f t="shared" si="0"/>
        <v>0.0221666666666667</v>
      </c>
      <c r="J22" s="20">
        <v>0.0006</v>
      </c>
      <c r="K22" s="19">
        <f>L22/3</f>
        <v>0.00443333333333333</v>
      </c>
      <c r="L22" s="20">
        <v>0.0133</v>
      </c>
      <c r="M22" s="20">
        <v>0.0089</v>
      </c>
      <c r="N22" s="20">
        <v>0.007</v>
      </c>
      <c r="O22" s="19">
        <v>0</v>
      </c>
      <c r="P22" s="19">
        <v>0</v>
      </c>
      <c r="Q22" s="19">
        <f t="shared" si="1"/>
        <v>0.0089</v>
      </c>
      <c r="R22" s="19">
        <f t="shared" si="2"/>
        <v>0.0089</v>
      </c>
      <c r="S22" s="19">
        <f t="shared" si="3"/>
        <v>0.093372</v>
      </c>
      <c r="T22" s="19">
        <f t="shared" si="4"/>
        <v>0.0595972</v>
      </c>
      <c r="U22" s="19">
        <f t="shared" si="5"/>
        <v>0.0306628721311475</v>
      </c>
      <c r="V22" s="20">
        <f>0.12351-Q22</f>
        <v>0.11461</v>
      </c>
      <c r="W22" s="19">
        <v>0</v>
      </c>
      <c r="X22" s="19">
        <v>0</v>
      </c>
      <c r="Y22" s="19">
        <f t="shared" si="6"/>
        <v>0.0736050888888889</v>
      </c>
      <c r="Z22" s="19">
        <f t="shared" si="7"/>
        <v>0.0389674</v>
      </c>
      <c r="AA22" s="19">
        <f t="shared" si="8"/>
        <v>0.046686</v>
      </c>
      <c r="AB22" s="19">
        <f t="shared" si="9"/>
        <v>0.0124496</v>
      </c>
      <c r="AC22" s="20">
        <f>0.23343*0.6</f>
        <v>0.140058</v>
      </c>
      <c r="AD22" s="19">
        <v>1</v>
      </c>
      <c r="AE22" s="19">
        <v>1</v>
      </c>
      <c r="AF22" s="21">
        <v>1</v>
      </c>
      <c r="AG22" s="44">
        <v>1</v>
      </c>
      <c r="AH22" s="44">
        <v>29</v>
      </c>
      <c r="AI22" s="44">
        <v>35</v>
      </c>
      <c r="AJ22" s="44">
        <v>10</v>
      </c>
      <c r="AK22" s="53" t="s">
        <v>243</v>
      </c>
      <c r="AL22" s="44">
        <v>0</v>
      </c>
      <c r="AM22" s="26" t="s">
        <v>228</v>
      </c>
      <c r="AN22" s="44">
        <v>0.5</v>
      </c>
      <c r="AO22" s="44">
        <v>0.65</v>
      </c>
      <c r="AP22" s="44">
        <v>0.72</v>
      </c>
      <c r="AQ22" s="44" t="s">
        <v>244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0</v>
      </c>
      <c r="AZ22" s="44">
        <v>0</v>
      </c>
      <c r="BA22" s="44">
        <v>0</v>
      </c>
      <c r="BB22" s="44">
        <v>0</v>
      </c>
      <c r="BC22" s="44">
        <v>0</v>
      </c>
      <c r="BD22" s="44">
        <v>0</v>
      </c>
      <c r="BE22" s="44">
        <v>0</v>
      </c>
      <c r="BF22" s="44">
        <v>0</v>
      </c>
      <c r="BG22" s="44" t="s">
        <v>208</v>
      </c>
      <c r="BH22" s="44">
        <v>0</v>
      </c>
      <c r="BI22" s="44">
        <v>0</v>
      </c>
      <c r="BJ22" s="44">
        <v>0.7</v>
      </c>
      <c r="BK22" s="44">
        <v>0.7</v>
      </c>
      <c r="BL22" s="44">
        <v>0.7</v>
      </c>
      <c r="BM22" s="44">
        <v>12.7</v>
      </c>
      <c r="BN22" s="44">
        <v>2</v>
      </c>
      <c r="BO22" s="44">
        <v>2</v>
      </c>
      <c r="BP22" s="41">
        <v>0.09</v>
      </c>
      <c r="BQ22" s="41">
        <v>1</v>
      </c>
      <c r="BR22" s="41">
        <v>0</v>
      </c>
      <c r="BS22" s="41">
        <v>0.03</v>
      </c>
      <c r="BT22" s="41">
        <v>1</v>
      </c>
      <c r="BU22" s="41">
        <v>30</v>
      </c>
      <c r="BV22" s="41">
        <v>1</v>
      </c>
      <c r="BW22" s="41">
        <v>1.17</v>
      </c>
      <c r="BX22" s="41">
        <v>3.03</v>
      </c>
      <c r="BY22" s="41">
        <v>0</v>
      </c>
      <c r="BZ22" s="41">
        <v>0</v>
      </c>
      <c r="CA22" s="41">
        <v>1</v>
      </c>
      <c r="CB22" s="41">
        <v>1.1</v>
      </c>
      <c r="CC22" s="41">
        <v>1</v>
      </c>
      <c r="CD22" s="41">
        <v>35</v>
      </c>
      <c r="CE22" s="41">
        <v>90</v>
      </c>
      <c r="CF22" s="41">
        <v>9999</v>
      </c>
      <c r="CG22" s="41">
        <v>1</v>
      </c>
      <c r="CH22" s="41">
        <v>1.2</v>
      </c>
      <c r="CI22" s="41">
        <v>5</v>
      </c>
      <c r="CJ22" s="41">
        <v>0.05</v>
      </c>
      <c r="CK22" s="41">
        <v>20</v>
      </c>
      <c r="CL22" s="41">
        <v>0.1</v>
      </c>
      <c r="CM22" s="41">
        <v>0.1</v>
      </c>
      <c r="CN22" s="41">
        <v>30</v>
      </c>
      <c r="CO22" s="41">
        <v>30</v>
      </c>
      <c r="CP22" s="41" t="s">
        <v>208</v>
      </c>
      <c r="CQ22" s="41">
        <v>0</v>
      </c>
      <c r="CR22" s="41">
        <v>0</v>
      </c>
      <c r="CS22" s="51">
        <v>200</v>
      </c>
      <c r="CT22" s="51">
        <v>1.55</v>
      </c>
      <c r="CU22" s="51">
        <v>5.46</v>
      </c>
    </row>
    <row r="23" spans="1:99">
      <c r="A23" s="16" t="s">
        <v>204</v>
      </c>
      <c r="B23" s="17" t="str">
        <f t="shared" si="10"/>
        <v>101501</v>
      </c>
      <c r="C23" s="43" t="str">
        <f>IF(COUNTIF(B:B,B23)&gt;1,"重复","唯一")</f>
        <v>唯一</v>
      </c>
      <c r="D23" s="18">
        <v>1015</v>
      </c>
      <c r="E23" s="4">
        <v>1</v>
      </c>
      <c r="F23" s="4" t="s">
        <v>245</v>
      </c>
      <c r="G23" s="19">
        <v>0</v>
      </c>
      <c r="H23" s="19">
        <v>0.4</v>
      </c>
      <c r="I23" s="19">
        <f t="shared" ref="I23:I30" si="12">K23*10/2</f>
        <v>0.0168833333333333</v>
      </c>
      <c r="J23" s="20">
        <v>0.0005</v>
      </c>
      <c r="K23" s="19">
        <f>L23/3</f>
        <v>0.00337666666666667</v>
      </c>
      <c r="L23" s="20">
        <v>0.01013</v>
      </c>
      <c r="M23" s="20">
        <v>0.00457</v>
      </c>
      <c r="N23" s="20">
        <v>0.00362</v>
      </c>
      <c r="O23" s="19">
        <v>0</v>
      </c>
      <c r="P23" s="19">
        <v>0</v>
      </c>
      <c r="Q23" s="19">
        <f t="shared" si="1"/>
        <v>0.00457</v>
      </c>
      <c r="R23" s="19">
        <f t="shared" si="2"/>
        <v>0.00457</v>
      </c>
      <c r="S23" s="19">
        <f t="shared" si="3"/>
        <v>0.07598</v>
      </c>
      <c r="T23" s="19">
        <f t="shared" si="4"/>
        <v>0.0657436</v>
      </c>
      <c r="U23" s="19">
        <f t="shared" si="5"/>
        <v>0.0338252065573771</v>
      </c>
      <c r="V23" s="20">
        <f>0.131-Q23</f>
        <v>0.12643</v>
      </c>
      <c r="W23" s="19">
        <v>0</v>
      </c>
      <c r="X23" s="19">
        <v>0</v>
      </c>
      <c r="Y23" s="19">
        <f t="shared" si="6"/>
        <v>0.0811961555555556</v>
      </c>
      <c r="Z23" s="19">
        <f t="shared" si="7"/>
        <v>0.0429862</v>
      </c>
      <c r="AA23" s="19">
        <f t="shared" si="8"/>
        <v>0.03799</v>
      </c>
      <c r="AB23" s="19">
        <f t="shared" si="9"/>
        <v>0.0101306666666667</v>
      </c>
      <c r="AC23" s="20">
        <f>0.18995*0.6</f>
        <v>0.11397</v>
      </c>
      <c r="AD23" s="19">
        <v>1</v>
      </c>
      <c r="AE23" s="19">
        <v>1</v>
      </c>
      <c r="AF23" s="21">
        <v>1</v>
      </c>
      <c r="AG23" s="44">
        <v>1</v>
      </c>
      <c r="AH23" s="44">
        <v>18</v>
      </c>
      <c r="AI23" s="44">
        <v>35</v>
      </c>
      <c r="AJ23" s="44">
        <v>10</v>
      </c>
      <c r="AK23" s="53" t="s">
        <v>246</v>
      </c>
      <c r="AL23" s="44">
        <v>0</v>
      </c>
      <c r="AM23" s="26" t="s">
        <v>228</v>
      </c>
      <c r="AN23" s="44">
        <v>0.5</v>
      </c>
      <c r="AO23" s="44">
        <v>0.65</v>
      </c>
      <c r="AP23" s="44">
        <v>0.72</v>
      </c>
      <c r="AQ23" s="44" t="s">
        <v>244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 t="s">
        <v>208</v>
      </c>
      <c r="BH23" s="44">
        <v>0</v>
      </c>
      <c r="BI23" s="44">
        <v>0</v>
      </c>
      <c r="BJ23" s="44">
        <v>1</v>
      </c>
      <c r="BK23" s="44">
        <v>1</v>
      </c>
      <c r="BL23" s="44">
        <v>1</v>
      </c>
      <c r="BM23" s="44">
        <v>12.7</v>
      </c>
      <c r="BN23" s="44">
        <v>2</v>
      </c>
      <c r="BO23" s="44">
        <v>2</v>
      </c>
      <c r="BP23" s="41">
        <v>0.1</v>
      </c>
      <c r="BQ23" s="41">
        <v>1</v>
      </c>
      <c r="BR23" s="41">
        <v>0</v>
      </c>
      <c r="BS23" s="41">
        <v>0.03</v>
      </c>
      <c r="BT23" s="41">
        <v>1</v>
      </c>
      <c r="BU23" s="41">
        <v>28</v>
      </c>
      <c r="BV23" s="41">
        <v>1</v>
      </c>
      <c r="BW23" s="41">
        <v>1.53</v>
      </c>
      <c r="BX23" s="41">
        <v>3.77</v>
      </c>
      <c r="BY23" s="41">
        <v>0</v>
      </c>
      <c r="BZ23" s="41">
        <v>0</v>
      </c>
      <c r="CA23" s="41">
        <v>1</v>
      </c>
      <c r="CB23" s="41">
        <v>1.17</v>
      </c>
      <c r="CC23" s="41">
        <v>1</v>
      </c>
      <c r="CD23" s="41">
        <v>30</v>
      </c>
      <c r="CE23" s="41">
        <v>90</v>
      </c>
      <c r="CF23" s="41">
        <v>9999</v>
      </c>
      <c r="CG23" s="41">
        <v>1</v>
      </c>
      <c r="CH23" s="41">
        <v>1.2</v>
      </c>
      <c r="CI23" s="41">
        <v>5</v>
      </c>
      <c r="CJ23" s="41">
        <v>0.05</v>
      </c>
      <c r="CK23" s="41">
        <v>20</v>
      </c>
      <c r="CL23" s="41">
        <v>0.1</v>
      </c>
      <c r="CM23" s="41">
        <v>0.1</v>
      </c>
      <c r="CN23" s="41">
        <v>30</v>
      </c>
      <c r="CO23" s="41">
        <v>30</v>
      </c>
      <c r="CP23" s="41" t="s">
        <v>208</v>
      </c>
      <c r="CQ23" s="41">
        <v>0</v>
      </c>
      <c r="CR23" s="41">
        <v>0</v>
      </c>
      <c r="CS23" s="51">
        <v>200</v>
      </c>
      <c r="CT23" s="52">
        <v>1.8</v>
      </c>
      <c r="CU23" s="51">
        <v>5.59</v>
      </c>
    </row>
    <row r="24" spans="1:99">
      <c r="A24" s="16" t="s">
        <v>204</v>
      </c>
      <c r="B24" s="17" t="str">
        <f t="shared" si="10"/>
        <v>101502</v>
      </c>
      <c r="C24" s="43" t="str">
        <f>IF(COUNTIF(B:B,B24)&gt;1,"重复","唯一")</f>
        <v>唯一</v>
      </c>
      <c r="D24" s="18">
        <v>1015</v>
      </c>
      <c r="E24" s="4">
        <v>2</v>
      </c>
      <c r="F24" s="4" t="s">
        <v>247</v>
      </c>
      <c r="G24" s="19">
        <v>0</v>
      </c>
      <c r="H24" s="19">
        <v>0.4</v>
      </c>
      <c r="I24" s="19">
        <f t="shared" si="12"/>
        <v>0.0158333333333333</v>
      </c>
      <c r="J24" s="20">
        <v>0.0003</v>
      </c>
      <c r="K24" s="19">
        <f>L24/3</f>
        <v>0.00316666666666667</v>
      </c>
      <c r="L24" s="20">
        <v>0.0095</v>
      </c>
      <c r="M24" s="20">
        <v>0.00413</v>
      </c>
      <c r="N24" s="20">
        <v>0.0035</v>
      </c>
      <c r="O24" s="19">
        <v>0</v>
      </c>
      <c r="P24" s="19">
        <v>0</v>
      </c>
      <c r="Q24" s="19">
        <f t="shared" si="1"/>
        <v>0.00413</v>
      </c>
      <c r="R24" s="19">
        <f t="shared" si="2"/>
        <v>0.00413</v>
      </c>
      <c r="S24" s="19">
        <f t="shared" si="3"/>
        <v>0.069468</v>
      </c>
      <c r="T24" s="19">
        <f t="shared" si="4"/>
        <v>0.0601328</v>
      </c>
      <c r="U24" s="19">
        <f t="shared" si="5"/>
        <v>0.0309384393442623</v>
      </c>
      <c r="V24" s="20">
        <f>0.11977-Q24</f>
        <v>0.11564</v>
      </c>
      <c r="W24" s="19">
        <v>0</v>
      </c>
      <c r="X24" s="19">
        <v>0</v>
      </c>
      <c r="Y24" s="19">
        <f t="shared" si="6"/>
        <v>0.0742665777777778</v>
      </c>
      <c r="Z24" s="19">
        <f t="shared" si="7"/>
        <v>0.0393176</v>
      </c>
      <c r="AA24" s="19">
        <f t="shared" si="8"/>
        <v>0.034734</v>
      </c>
      <c r="AB24" s="19">
        <f t="shared" si="9"/>
        <v>0.0092624</v>
      </c>
      <c r="AC24" s="20">
        <f>0.17367*0.6</f>
        <v>0.104202</v>
      </c>
      <c r="AD24" s="19">
        <v>1</v>
      </c>
      <c r="AE24" s="19">
        <v>1</v>
      </c>
      <c r="AF24" s="21">
        <v>1</v>
      </c>
      <c r="AG24" s="44">
        <v>1</v>
      </c>
      <c r="AH24" s="44">
        <v>18</v>
      </c>
      <c r="AI24" s="44">
        <v>35</v>
      </c>
      <c r="AJ24" s="44">
        <v>10</v>
      </c>
      <c r="AK24" s="53" t="s">
        <v>248</v>
      </c>
      <c r="AL24" s="44">
        <v>0</v>
      </c>
      <c r="AM24" s="26" t="s">
        <v>228</v>
      </c>
      <c r="AN24" s="44">
        <v>0.5</v>
      </c>
      <c r="AO24" s="44">
        <v>0.455</v>
      </c>
      <c r="AP24" s="44">
        <v>0.72</v>
      </c>
      <c r="AQ24" s="44" t="s">
        <v>244</v>
      </c>
      <c r="AR24" s="44">
        <v>0</v>
      </c>
      <c r="AS24" s="44">
        <v>0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0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 t="s">
        <v>208</v>
      </c>
      <c r="BH24" s="44">
        <v>0</v>
      </c>
      <c r="BI24" s="44">
        <v>0</v>
      </c>
      <c r="BJ24" s="44">
        <v>1</v>
      </c>
      <c r="BK24" s="44">
        <v>1</v>
      </c>
      <c r="BL24" s="44">
        <v>1</v>
      </c>
      <c r="BM24" s="44">
        <v>12.7</v>
      </c>
      <c r="BN24" s="44">
        <v>2</v>
      </c>
      <c r="BO24" s="44">
        <v>2</v>
      </c>
      <c r="BP24" s="41">
        <v>0.1</v>
      </c>
      <c r="BQ24" s="41">
        <v>1</v>
      </c>
      <c r="BR24" s="41">
        <v>0</v>
      </c>
      <c r="BS24" s="41">
        <v>0.03</v>
      </c>
      <c r="BT24" s="41">
        <v>1</v>
      </c>
      <c r="BU24" s="41">
        <v>28</v>
      </c>
      <c r="BV24" s="41">
        <v>1</v>
      </c>
      <c r="BW24" s="41">
        <v>1.53</v>
      </c>
      <c r="BX24" s="41">
        <v>3.77</v>
      </c>
      <c r="BY24" s="41">
        <v>0</v>
      </c>
      <c r="BZ24" s="41">
        <v>0</v>
      </c>
      <c r="CA24" s="41">
        <v>1</v>
      </c>
      <c r="CB24" s="41">
        <v>1.17</v>
      </c>
      <c r="CC24" s="41">
        <v>1</v>
      </c>
      <c r="CD24" s="41">
        <v>30</v>
      </c>
      <c r="CE24" s="41">
        <v>90</v>
      </c>
      <c r="CF24" s="41">
        <v>9999</v>
      </c>
      <c r="CG24" s="41">
        <v>1</v>
      </c>
      <c r="CH24" s="41">
        <v>1.2</v>
      </c>
      <c r="CI24" s="41">
        <v>5</v>
      </c>
      <c r="CJ24" s="41">
        <v>0.05</v>
      </c>
      <c r="CK24" s="41">
        <v>20</v>
      </c>
      <c r="CL24" s="41">
        <v>0.1</v>
      </c>
      <c r="CM24" s="41">
        <v>0.1</v>
      </c>
      <c r="CN24" s="41">
        <v>30</v>
      </c>
      <c r="CO24" s="41">
        <v>30</v>
      </c>
      <c r="CP24" s="41" t="s">
        <v>208</v>
      </c>
      <c r="CQ24" s="41">
        <v>0</v>
      </c>
      <c r="CR24" s="41">
        <v>0</v>
      </c>
      <c r="CS24" s="51">
        <v>200</v>
      </c>
      <c r="CT24" s="52">
        <v>1.8</v>
      </c>
      <c r="CU24" s="51">
        <v>5.59</v>
      </c>
    </row>
    <row r="25" spans="1:99">
      <c r="A25" s="16" t="s">
        <v>204</v>
      </c>
      <c r="B25" s="17" t="str">
        <f t="shared" si="10"/>
        <v>101601</v>
      </c>
      <c r="C25" s="43" t="str">
        <f>IF(COUNTIF(B:B,B25)&gt;1,"重复","唯一")</f>
        <v>唯一</v>
      </c>
      <c r="D25" s="18">
        <v>1016</v>
      </c>
      <c r="E25" s="4">
        <v>1</v>
      </c>
      <c r="F25" s="4" t="s">
        <v>249</v>
      </c>
      <c r="G25" s="19">
        <v>0</v>
      </c>
      <c r="H25" s="19">
        <v>0.4</v>
      </c>
      <c r="I25" s="19">
        <f>K25*10/1.25</f>
        <v>0.06176</v>
      </c>
      <c r="J25" s="20">
        <v>0.002</v>
      </c>
      <c r="K25" s="19">
        <f>L25/5</f>
        <v>0.00772</v>
      </c>
      <c r="L25" s="20">
        <v>0.0386</v>
      </c>
      <c r="M25" s="20">
        <v>0.01003</v>
      </c>
      <c r="N25" s="20">
        <v>0.007817</v>
      </c>
      <c r="O25" s="19">
        <v>0</v>
      </c>
      <c r="P25" s="19">
        <v>0</v>
      </c>
      <c r="Q25" s="19">
        <f t="shared" si="1"/>
        <v>0.01003</v>
      </c>
      <c r="R25" s="19">
        <f t="shared" si="2"/>
        <v>0.01003</v>
      </c>
      <c r="S25" s="19">
        <f t="shared" si="3"/>
        <v>0.150684</v>
      </c>
      <c r="T25" s="19">
        <f t="shared" si="4"/>
        <v>0.07709</v>
      </c>
      <c r="U25" s="19">
        <f t="shared" si="5"/>
        <v>0.0396629508196721</v>
      </c>
      <c r="V25" s="20">
        <f>0.15828-Q25</f>
        <v>0.14825</v>
      </c>
      <c r="W25" s="19">
        <v>0</v>
      </c>
      <c r="X25" s="19">
        <v>0</v>
      </c>
      <c r="Y25" s="19">
        <f t="shared" si="6"/>
        <v>0.0952094444444445</v>
      </c>
      <c r="Z25" s="19">
        <f t="shared" si="7"/>
        <v>0.050405</v>
      </c>
      <c r="AA25" s="19">
        <f t="shared" si="8"/>
        <v>0.075342</v>
      </c>
      <c r="AB25" s="19">
        <f t="shared" si="9"/>
        <v>0.0200912</v>
      </c>
      <c r="AC25" s="20">
        <f>0.37671*0.6</f>
        <v>0.226026</v>
      </c>
      <c r="AD25" s="19">
        <v>1</v>
      </c>
      <c r="AE25" s="19">
        <v>1</v>
      </c>
      <c r="AF25" s="21">
        <v>2</v>
      </c>
      <c r="AG25" s="44">
        <v>1</v>
      </c>
      <c r="AH25" s="44">
        <v>12</v>
      </c>
      <c r="AI25" s="44">
        <v>35</v>
      </c>
      <c r="AJ25" s="44">
        <v>10</v>
      </c>
      <c r="AK25" s="53" t="s">
        <v>250</v>
      </c>
      <c r="AL25" s="44">
        <v>0</v>
      </c>
      <c r="AM25" s="44" t="s">
        <v>217</v>
      </c>
      <c r="AN25" s="44">
        <v>0.5</v>
      </c>
      <c r="AO25" s="44">
        <v>0.65</v>
      </c>
      <c r="AP25" s="44">
        <v>0.72</v>
      </c>
      <c r="AQ25" s="44">
        <v>0.675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44">
        <v>0</v>
      </c>
      <c r="BD25" s="44">
        <v>0</v>
      </c>
      <c r="BE25" s="44">
        <v>0.00824</v>
      </c>
      <c r="BF25" s="44">
        <v>8</v>
      </c>
      <c r="BG25" s="44" t="s">
        <v>208</v>
      </c>
      <c r="BH25" s="44">
        <v>0.09</v>
      </c>
      <c r="BI25" s="44">
        <v>10</v>
      </c>
      <c r="BJ25" s="44">
        <v>1</v>
      </c>
      <c r="BK25" s="44">
        <v>1</v>
      </c>
      <c r="BL25" s="44">
        <v>1</v>
      </c>
      <c r="BM25" s="44">
        <v>12.7</v>
      </c>
      <c r="BN25" s="44">
        <v>3</v>
      </c>
      <c r="BO25" s="44">
        <v>2</v>
      </c>
      <c r="BP25" s="41">
        <v>0.075</v>
      </c>
      <c r="BQ25" s="41">
        <v>1</v>
      </c>
      <c r="BR25" s="41">
        <v>0</v>
      </c>
      <c r="BS25" s="41">
        <v>0.03</v>
      </c>
      <c r="BT25" s="41">
        <v>1</v>
      </c>
      <c r="BU25" s="41">
        <v>35</v>
      </c>
      <c r="BV25" s="41">
        <v>1</v>
      </c>
      <c r="BW25" s="41">
        <v>3.83</v>
      </c>
      <c r="BX25" s="41">
        <v>5.7</v>
      </c>
      <c r="BY25" s="41">
        <v>0</v>
      </c>
      <c r="BZ25" s="41">
        <v>0</v>
      </c>
      <c r="CA25" s="41">
        <v>1</v>
      </c>
      <c r="CB25" s="41">
        <v>1.1</v>
      </c>
      <c r="CC25" s="41">
        <v>1</v>
      </c>
      <c r="CD25" s="41">
        <v>150</v>
      </c>
      <c r="CE25" s="41">
        <v>300</v>
      </c>
      <c r="CF25" s="41">
        <v>9999</v>
      </c>
      <c r="CG25" s="41">
        <v>1</v>
      </c>
      <c r="CH25" s="41">
        <v>1.2</v>
      </c>
      <c r="CI25" s="41">
        <v>5</v>
      </c>
      <c r="CJ25" s="41">
        <v>0.05</v>
      </c>
      <c r="CK25" s="41">
        <v>20</v>
      </c>
      <c r="CL25" s="41">
        <v>0.1</v>
      </c>
      <c r="CM25" s="41">
        <v>0.1</v>
      </c>
      <c r="CN25" s="41">
        <v>30</v>
      </c>
      <c r="CO25" s="41">
        <v>30</v>
      </c>
      <c r="CP25" s="41" t="s">
        <v>208</v>
      </c>
      <c r="CQ25" s="41">
        <v>0</v>
      </c>
      <c r="CR25" s="41">
        <v>0</v>
      </c>
      <c r="CS25" s="51">
        <v>200</v>
      </c>
      <c r="CT25" s="51">
        <v>1.42</v>
      </c>
      <c r="CU25" s="51">
        <v>3.81</v>
      </c>
    </row>
    <row r="26" spans="1:99">
      <c r="A26" s="16" t="s">
        <v>204</v>
      </c>
      <c r="B26" s="17" t="str">
        <f t="shared" si="10"/>
        <v>101701</v>
      </c>
      <c r="C26" s="43" t="str">
        <f>IF(COUNTIF(B:B,B26)&gt;1,"重复","唯一")</f>
        <v>唯一</v>
      </c>
      <c r="D26" s="18">
        <v>1017</v>
      </c>
      <c r="E26" s="4">
        <v>1</v>
      </c>
      <c r="F26" s="4" t="s">
        <v>251</v>
      </c>
      <c r="G26" s="19">
        <v>0</v>
      </c>
      <c r="H26" s="19">
        <v>0.4</v>
      </c>
      <c r="I26" s="19">
        <f>K26*10/1.25</f>
        <v>0.021776</v>
      </c>
      <c r="J26" s="20">
        <v>0.002</v>
      </c>
      <c r="K26" s="19">
        <f>L26/5</f>
        <v>0.002722</v>
      </c>
      <c r="L26" s="20">
        <v>0.01361</v>
      </c>
      <c r="M26" s="20">
        <v>0.00782</v>
      </c>
      <c r="N26" s="20">
        <v>0.00623</v>
      </c>
      <c r="O26" s="19">
        <v>0</v>
      </c>
      <c r="P26" s="19">
        <v>0</v>
      </c>
      <c r="Q26" s="19">
        <f t="shared" si="1"/>
        <v>0.00782</v>
      </c>
      <c r="R26" s="19">
        <f t="shared" si="2"/>
        <v>0.00782</v>
      </c>
      <c r="S26" s="19">
        <f t="shared" si="3"/>
        <v>0.145368</v>
      </c>
      <c r="T26" s="19">
        <f t="shared" si="4"/>
        <v>0.0756704</v>
      </c>
      <c r="U26" s="19">
        <f t="shared" si="5"/>
        <v>0.0389325639344262</v>
      </c>
      <c r="V26" s="20">
        <f>0.15334-Q26</f>
        <v>0.14552</v>
      </c>
      <c r="W26" s="19">
        <v>0</v>
      </c>
      <c r="X26" s="19">
        <v>0</v>
      </c>
      <c r="Y26" s="19">
        <f t="shared" si="6"/>
        <v>0.0934561777777778</v>
      </c>
      <c r="Z26" s="19">
        <f t="shared" si="7"/>
        <v>0.0494768</v>
      </c>
      <c r="AA26" s="19">
        <f t="shared" si="8"/>
        <v>0.072684</v>
      </c>
      <c r="AB26" s="19">
        <f t="shared" si="9"/>
        <v>0.0193824</v>
      </c>
      <c r="AC26" s="20">
        <f>0.36342*0.6</f>
        <v>0.218052</v>
      </c>
      <c r="AD26" s="19">
        <v>1</v>
      </c>
      <c r="AE26" s="19">
        <v>1</v>
      </c>
      <c r="AF26" s="21">
        <v>1</v>
      </c>
      <c r="AG26" s="44">
        <v>1</v>
      </c>
      <c r="AH26" s="44">
        <v>33</v>
      </c>
      <c r="AI26" s="44">
        <v>35</v>
      </c>
      <c r="AJ26" s="44">
        <v>10</v>
      </c>
      <c r="AK26" s="44" t="s">
        <v>252</v>
      </c>
      <c r="AL26" s="44"/>
      <c r="AM26" s="26" t="s">
        <v>253</v>
      </c>
      <c r="AN26" s="44">
        <v>0.5</v>
      </c>
      <c r="AO26" s="44">
        <v>0.65</v>
      </c>
      <c r="AP26" s="44">
        <v>0.72</v>
      </c>
      <c r="AQ26" s="44">
        <v>0.675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 t="s">
        <v>208</v>
      </c>
      <c r="BH26" s="44">
        <v>0</v>
      </c>
      <c r="BI26" s="44">
        <v>0</v>
      </c>
      <c r="BJ26" s="44">
        <v>1</v>
      </c>
      <c r="BK26" s="44">
        <v>1</v>
      </c>
      <c r="BL26" s="44">
        <v>1</v>
      </c>
      <c r="BM26" s="44">
        <v>12.7</v>
      </c>
      <c r="BN26" s="44">
        <v>3</v>
      </c>
      <c r="BO26" s="44">
        <v>2</v>
      </c>
      <c r="BP26" s="41">
        <v>0.08</v>
      </c>
      <c r="BQ26" s="41">
        <v>1</v>
      </c>
      <c r="BR26" s="41">
        <v>0</v>
      </c>
      <c r="BS26" s="41">
        <v>0.03</v>
      </c>
      <c r="BT26" s="41">
        <v>1</v>
      </c>
      <c r="BU26" s="41">
        <v>32</v>
      </c>
      <c r="BV26" s="41">
        <v>1</v>
      </c>
      <c r="BW26" s="41">
        <v>3.73</v>
      </c>
      <c r="BX26" s="41">
        <v>5.7</v>
      </c>
      <c r="BY26" s="41">
        <v>0</v>
      </c>
      <c r="BZ26" s="41">
        <v>0</v>
      </c>
      <c r="CA26" s="41">
        <v>1</v>
      </c>
      <c r="CB26" s="41">
        <v>1.1</v>
      </c>
      <c r="CC26" s="41">
        <v>1</v>
      </c>
      <c r="CD26" s="41">
        <v>100</v>
      </c>
      <c r="CE26" s="41">
        <v>200</v>
      </c>
      <c r="CF26" s="41">
        <v>9999</v>
      </c>
      <c r="CG26" s="41">
        <v>1</v>
      </c>
      <c r="CH26" s="41">
        <v>1.2</v>
      </c>
      <c r="CI26" s="41">
        <v>5</v>
      </c>
      <c r="CJ26" s="41">
        <v>0.05</v>
      </c>
      <c r="CK26" s="41">
        <v>20</v>
      </c>
      <c r="CL26" s="41">
        <v>0.1</v>
      </c>
      <c r="CM26" s="41">
        <v>0.1</v>
      </c>
      <c r="CN26" s="41">
        <v>30</v>
      </c>
      <c r="CO26" s="41">
        <v>30</v>
      </c>
      <c r="CP26" s="41" t="s">
        <v>208</v>
      </c>
      <c r="CQ26" s="41">
        <v>0</v>
      </c>
      <c r="CR26" s="41">
        <v>0</v>
      </c>
      <c r="CS26" s="51">
        <v>200</v>
      </c>
      <c r="CT26" s="52">
        <v>1.6</v>
      </c>
      <c r="CU26" s="51">
        <v>4.95</v>
      </c>
    </row>
    <row r="27" spans="1:99">
      <c r="A27" s="16" t="s">
        <v>204</v>
      </c>
      <c r="B27" s="17" t="str">
        <f t="shared" si="10"/>
        <v>101801</v>
      </c>
      <c r="C27" s="43" t="str">
        <f>IF(COUNTIF(B:B,B27)&gt;1,"重复","唯一")</f>
        <v>唯一</v>
      </c>
      <c r="D27" s="18">
        <v>1018</v>
      </c>
      <c r="E27" s="4">
        <v>1</v>
      </c>
      <c r="F27" s="4" t="s">
        <v>254</v>
      </c>
      <c r="G27" s="19">
        <v>0</v>
      </c>
      <c r="H27" s="19">
        <v>0.4</v>
      </c>
      <c r="I27" s="19">
        <f t="shared" si="12"/>
        <v>0</v>
      </c>
      <c r="J27" s="20">
        <v>0.00028</v>
      </c>
      <c r="K27" s="19">
        <f>L27/3</f>
        <v>0</v>
      </c>
      <c r="L27" s="20">
        <v>0</v>
      </c>
      <c r="M27" s="20">
        <v>0.02948</v>
      </c>
      <c r="N27" s="20">
        <v>0.02252</v>
      </c>
      <c r="O27" s="19">
        <v>0</v>
      </c>
      <c r="P27" s="19">
        <v>0</v>
      </c>
      <c r="Q27" s="19">
        <f t="shared" si="1"/>
        <v>0.02948</v>
      </c>
      <c r="R27" s="19">
        <f t="shared" si="2"/>
        <v>0.02948</v>
      </c>
      <c r="S27" s="19">
        <f t="shared" si="3"/>
        <v>0.085688</v>
      </c>
      <c r="T27" s="19">
        <f t="shared" si="4"/>
        <v>0.0584428</v>
      </c>
      <c r="U27" s="19">
        <f t="shared" si="5"/>
        <v>0.030068931147541</v>
      </c>
      <c r="V27" s="20">
        <f>0.14187-Q27</f>
        <v>0.11239</v>
      </c>
      <c r="W27" s="19">
        <v>0</v>
      </c>
      <c r="X27" s="19">
        <v>0</v>
      </c>
      <c r="Y27" s="19">
        <f t="shared" si="6"/>
        <v>0.0721793555555556</v>
      </c>
      <c r="Z27" s="19">
        <f t="shared" si="7"/>
        <v>0.0382126</v>
      </c>
      <c r="AA27" s="19">
        <f t="shared" si="8"/>
        <v>0.042844</v>
      </c>
      <c r="AB27" s="19">
        <f t="shared" si="9"/>
        <v>0.0114250666666667</v>
      </c>
      <c r="AC27" s="20">
        <f>0.21422*0.6</f>
        <v>0.128532</v>
      </c>
      <c r="AD27" s="19">
        <v>1</v>
      </c>
      <c r="AE27" s="19">
        <v>1</v>
      </c>
      <c r="AF27" s="21">
        <v>1</v>
      </c>
      <c r="AG27" s="44">
        <v>3</v>
      </c>
      <c r="AH27" s="44">
        <v>0</v>
      </c>
      <c r="AI27" s="44">
        <v>35</v>
      </c>
      <c r="AJ27" s="44">
        <v>10</v>
      </c>
      <c r="AK27" s="44">
        <v>0</v>
      </c>
      <c r="AL27" s="44">
        <v>0</v>
      </c>
      <c r="AM27" s="45">
        <v>1</v>
      </c>
      <c r="AN27" s="44">
        <v>5</v>
      </c>
      <c r="AO27" s="44">
        <v>0.65</v>
      </c>
      <c r="AP27" s="44">
        <v>1</v>
      </c>
      <c r="AQ27" s="44">
        <v>1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1</v>
      </c>
      <c r="BA27" s="44">
        <v>2.5</v>
      </c>
      <c r="BB27" s="44">
        <v>0.5</v>
      </c>
      <c r="BC27" s="44">
        <v>0</v>
      </c>
      <c r="BD27" s="44">
        <v>0</v>
      </c>
      <c r="BE27" s="44">
        <v>0</v>
      </c>
      <c r="BF27" s="44">
        <v>0</v>
      </c>
      <c r="BG27" s="44" t="s">
        <v>208</v>
      </c>
      <c r="BH27" s="44">
        <v>0</v>
      </c>
      <c r="BI27" s="44">
        <v>0</v>
      </c>
      <c r="BJ27" s="44">
        <v>1</v>
      </c>
      <c r="BK27" s="44">
        <v>1</v>
      </c>
      <c r="BL27" s="44">
        <v>1</v>
      </c>
      <c r="BM27" s="44">
        <v>12.7</v>
      </c>
      <c r="BN27" s="44">
        <v>2</v>
      </c>
      <c r="BO27" s="44">
        <v>2.5</v>
      </c>
      <c r="BP27" s="41">
        <v>1.25</v>
      </c>
      <c r="BQ27" s="41">
        <v>1</v>
      </c>
      <c r="BR27" s="41">
        <v>0</v>
      </c>
      <c r="BS27" s="41">
        <v>0.03</v>
      </c>
      <c r="BT27" s="41">
        <v>1</v>
      </c>
      <c r="BU27" s="41">
        <v>88</v>
      </c>
      <c r="BV27" s="41">
        <v>1</v>
      </c>
      <c r="BW27" s="41">
        <v>1.97</v>
      </c>
      <c r="BX27" s="41">
        <v>3.7</v>
      </c>
      <c r="BY27" s="41">
        <v>0</v>
      </c>
      <c r="BZ27" s="41">
        <v>0</v>
      </c>
      <c r="CA27" s="41">
        <v>1</v>
      </c>
      <c r="CB27" s="41">
        <v>1</v>
      </c>
      <c r="CC27" s="41">
        <v>1</v>
      </c>
      <c r="CD27" s="41">
        <v>10</v>
      </c>
      <c r="CE27" s="41">
        <v>90</v>
      </c>
      <c r="CF27" s="41">
        <v>9999</v>
      </c>
      <c r="CG27" s="41">
        <v>2</v>
      </c>
      <c r="CH27" s="41">
        <v>1.2</v>
      </c>
      <c r="CI27" s="41">
        <v>5</v>
      </c>
      <c r="CJ27" s="41">
        <v>0.05</v>
      </c>
      <c r="CK27" s="41">
        <v>20</v>
      </c>
      <c r="CL27" s="41">
        <v>0.1</v>
      </c>
      <c r="CM27" s="41">
        <v>0.1</v>
      </c>
      <c r="CN27" s="41">
        <v>30</v>
      </c>
      <c r="CO27" s="41">
        <v>30</v>
      </c>
      <c r="CP27" s="41" t="s">
        <v>209</v>
      </c>
      <c r="CQ27" s="41">
        <v>0</v>
      </c>
      <c r="CR27" s="41">
        <v>0</v>
      </c>
      <c r="CS27" s="51">
        <v>200</v>
      </c>
      <c r="CT27" s="52">
        <v>1.7</v>
      </c>
      <c r="CU27" s="51">
        <v>5.84</v>
      </c>
    </row>
    <row r="28" spans="1:99">
      <c r="A28" s="16" t="s">
        <v>204</v>
      </c>
      <c r="B28" s="17" t="str">
        <f t="shared" si="10"/>
        <v>101802</v>
      </c>
      <c r="C28" s="43" t="str">
        <f>IF(COUNTIF(B:B,B28)&gt;1,"重复","唯一")</f>
        <v>唯一</v>
      </c>
      <c r="D28" s="18">
        <v>1018</v>
      </c>
      <c r="E28" s="4">
        <v>2</v>
      </c>
      <c r="F28" s="4" t="s">
        <v>255</v>
      </c>
      <c r="G28" s="19">
        <v>0.5</v>
      </c>
      <c r="H28" s="19">
        <v>0.4</v>
      </c>
      <c r="I28" s="19">
        <f t="shared" si="12"/>
        <v>0</v>
      </c>
      <c r="J28" s="20">
        <v>0.00023</v>
      </c>
      <c r="K28" s="19">
        <f>L28/3</f>
        <v>0</v>
      </c>
      <c r="L28" s="20">
        <v>0</v>
      </c>
      <c r="M28" s="20">
        <v>0.00357</v>
      </c>
      <c r="N28" s="20">
        <v>0.002937</v>
      </c>
      <c r="O28" s="19">
        <v>0</v>
      </c>
      <c r="P28" s="19">
        <v>0</v>
      </c>
      <c r="Q28" s="19">
        <f t="shared" si="1"/>
        <v>0.00357</v>
      </c>
      <c r="R28" s="19">
        <f t="shared" si="2"/>
        <v>0.00357</v>
      </c>
      <c r="S28" s="19">
        <f t="shared" si="3"/>
        <v>0.069888</v>
      </c>
      <c r="T28" s="19">
        <f t="shared" si="4"/>
        <v>0.0583128</v>
      </c>
      <c r="U28" s="19">
        <f t="shared" si="5"/>
        <v>0.0300020459016393</v>
      </c>
      <c r="V28" s="20">
        <f>0.11571-Q28</f>
        <v>0.11214</v>
      </c>
      <c r="W28" s="19">
        <v>0</v>
      </c>
      <c r="X28" s="19">
        <v>0</v>
      </c>
      <c r="Y28" s="19">
        <f t="shared" si="6"/>
        <v>0.0720188</v>
      </c>
      <c r="Z28" s="19">
        <f t="shared" si="7"/>
        <v>0.0381276</v>
      </c>
      <c r="AA28" s="19">
        <f t="shared" si="8"/>
        <v>0.034944</v>
      </c>
      <c r="AB28" s="19">
        <f t="shared" si="9"/>
        <v>0.0093184</v>
      </c>
      <c r="AC28" s="20">
        <f>0.17472*0.6</f>
        <v>0.104832</v>
      </c>
      <c r="AD28" s="19">
        <v>1</v>
      </c>
      <c r="AE28" s="19">
        <v>1</v>
      </c>
      <c r="AF28" s="21">
        <v>1</v>
      </c>
      <c r="AG28" s="44">
        <v>3</v>
      </c>
      <c r="AH28" s="44">
        <v>0</v>
      </c>
      <c r="AI28" s="44">
        <v>35</v>
      </c>
      <c r="AJ28" s="44">
        <v>10</v>
      </c>
      <c r="AK28" s="44">
        <v>0</v>
      </c>
      <c r="AL28" s="44">
        <v>0</v>
      </c>
      <c r="AM28" s="45">
        <v>1</v>
      </c>
      <c r="AN28" s="44">
        <v>5</v>
      </c>
      <c r="AO28" s="44">
        <v>0.65</v>
      </c>
      <c r="AP28" s="44">
        <v>1</v>
      </c>
      <c r="AQ28" s="44">
        <v>1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1</v>
      </c>
      <c r="BA28" s="44">
        <v>2.5</v>
      </c>
      <c r="BB28" s="44">
        <v>0.5</v>
      </c>
      <c r="BC28" s="44">
        <v>0</v>
      </c>
      <c r="BD28" s="44">
        <v>0</v>
      </c>
      <c r="BE28" s="44">
        <v>0</v>
      </c>
      <c r="BF28" s="44">
        <v>0</v>
      </c>
      <c r="BG28" s="44" t="s">
        <v>208</v>
      </c>
      <c r="BH28" s="44">
        <v>0</v>
      </c>
      <c r="BI28" s="44">
        <v>0</v>
      </c>
      <c r="BJ28" s="44">
        <v>1</v>
      </c>
      <c r="BK28" s="44">
        <v>1</v>
      </c>
      <c r="BL28" s="44">
        <v>1</v>
      </c>
      <c r="BM28" s="44">
        <v>12.7</v>
      </c>
      <c r="BN28" s="44">
        <v>2</v>
      </c>
      <c r="BO28" s="44">
        <v>2.5</v>
      </c>
      <c r="BP28" s="41">
        <v>1.25</v>
      </c>
      <c r="BQ28" s="41">
        <v>1</v>
      </c>
      <c r="BR28" s="41">
        <v>0</v>
      </c>
      <c r="BS28" s="41">
        <v>0.03</v>
      </c>
      <c r="BT28" s="41">
        <v>1</v>
      </c>
      <c r="BU28" s="41">
        <v>88</v>
      </c>
      <c r="BV28" s="41">
        <v>1</v>
      </c>
      <c r="BW28" s="41">
        <v>1.97</v>
      </c>
      <c r="BX28" s="41">
        <v>3.7</v>
      </c>
      <c r="BY28" s="41">
        <v>0</v>
      </c>
      <c r="BZ28" s="41">
        <v>0</v>
      </c>
      <c r="CA28" s="41">
        <v>1</v>
      </c>
      <c r="CB28" s="41">
        <v>1</v>
      </c>
      <c r="CC28" s="41">
        <v>1</v>
      </c>
      <c r="CD28" s="41">
        <v>10</v>
      </c>
      <c r="CE28" s="41">
        <v>90</v>
      </c>
      <c r="CF28" s="41">
        <v>9999</v>
      </c>
      <c r="CG28" s="41">
        <v>2</v>
      </c>
      <c r="CH28" s="41">
        <v>1.2</v>
      </c>
      <c r="CI28" s="41">
        <v>5</v>
      </c>
      <c r="CJ28" s="41">
        <v>0.05</v>
      </c>
      <c r="CK28" s="41">
        <v>20</v>
      </c>
      <c r="CL28" s="41">
        <v>0.1</v>
      </c>
      <c r="CM28" s="41">
        <v>0.1</v>
      </c>
      <c r="CN28" s="41">
        <v>30</v>
      </c>
      <c r="CO28" s="41">
        <v>30</v>
      </c>
      <c r="CP28" s="41" t="s">
        <v>209</v>
      </c>
      <c r="CQ28" s="41">
        <v>0</v>
      </c>
      <c r="CR28" s="41">
        <v>0</v>
      </c>
      <c r="CS28" s="51">
        <v>200</v>
      </c>
      <c r="CT28" s="52">
        <v>1.7</v>
      </c>
      <c r="CU28" s="51">
        <v>5.84</v>
      </c>
    </row>
    <row r="29" s="42" customFormat="1" spans="1:99">
      <c r="A29" s="16" t="s">
        <v>204</v>
      </c>
      <c r="B29" s="17" t="str">
        <f t="shared" si="10"/>
        <v>101901</v>
      </c>
      <c r="C29" s="43" t="str">
        <f>IF(COUNTIF(B:B,B29)&gt;1,"重复","唯一")</f>
        <v>唯一</v>
      </c>
      <c r="D29" s="18">
        <v>1019</v>
      </c>
      <c r="E29" s="4">
        <v>1</v>
      </c>
      <c r="F29" s="4" t="s">
        <v>256</v>
      </c>
      <c r="G29" s="19">
        <v>0</v>
      </c>
      <c r="H29" s="19">
        <v>0.4</v>
      </c>
      <c r="I29" s="19">
        <f t="shared" si="12"/>
        <v>0</v>
      </c>
      <c r="J29" s="20">
        <v>0.0002</v>
      </c>
      <c r="K29" s="19">
        <f>L29/3</f>
        <v>0</v>
      </c>
      <c r="L29" s="20">
        <v>0</v>
      </c>
      <c r="M29" s="20">
        <v>0.0744</v>
      </c>
      <c r="N29" s="20">
        <v>0.05579</v>
      </c>
      <c r="O29" s="19">
        <v>0</v>
      </c>
      <c r="P29" s="19">
        <v>0</v>
      </c>
      <c r="Q29" s="19">
        <f t="shared" si="1"/>
        <v>0.0744</v>
      </c>
      <c r="R29" s="19">
        <f t="shared" si="2"/>
        <v>0.0744</v>
      </c>
      <c r="S29" s="19">
        <f t="shared" si="3"/>
        <v>0.13624</v>
      </c>
      <c r="T29" s="19">
        <f t="shared" si="4"/>
        <v>0.081796</v>
      </c>
      <c r="U29" s="19">
        <f t="shared" si="5"/>
        <v>0.0420841967213115</v>
      </c>
      <c r="V29" s="20">
        <f>0.2317-Q29</f>
        <v>0.1573</v>
      </c>
      <c r="W29" s="19">
        <v>0</v>
      </c>
      <c r="X29" s="19">
        <v>0</v>
      </c>
      <c r="Y29" s="19">
        <f t="shared" si="6"/>
        <v>0.101021555555556</v>
      </c>
      <c r="Z29" s="19">
        <f t="shared" si="7"/>
        <v>0.053482</v>
      </c>
      <c r="AA29" s="19">
        <f t="shared" si="8"/>
        <v>0.06812</v>
      </c>
      <c r="AB29" s="19">
        <f t="shared" si="9"/>
        <v>0.0181653333333333</v>
      </c>
      <c r="AC29" s="20">
        <f>0.3406*0.6</f>
        <v>0.20436</v>
      </c>
      <c r="AD29" s="19">
        <v>1</v>
      </c>
      <c r="AE29" s="19">
        <v>1</v>
      </c>
      <c r="AF29" s="21">
        <v>1</v>
      </c>
      <c r="AG29" s="44">
        <v>3</v>
      </c>
      <c r="AH29" s="44">
        <v>0</v>
      </c>
      <c r="AI29" s="44">
        <v>35</v>
      </c>
      <c r="AJ29" s="44">
        <v>10</v>
      </c>
      <c r="AK29" s="44">
        <v>0</v>
      </c>
      <c r="AL29" s="44">
        <v>0</v>
      </c>
      <c r="AM29" s="45">
        <v>1</v>
      </c>
      <c r="AN29" s="44">
        <v>5</v>
      </c>
      <c r="AO29" s="44">
        <v>0.65</v>
      </c>
      <c r="AP29" s="44">
        <v>1</v>
      </c>
      <c r="AQ29" s="44">
        <v>1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0</v>
      </c>
      <c r="AX29" s="44">
        <v>0</v>
      </c>
      <c r="AY29" s="44">
        <v>0</v>
      </c>
      <c r="AZ29" s="44">
        <v>6</v>
      </c>
      <c r="BA29" s="44">
        <v>6</v>
      </c>
      <c r="BB29" s="44">
        <v>1</v>
      </c>
      <c r="BC29" s="44">
        <v>0</v>
      </c>
      <c r="BD29" s="44">
        <v>0</v>
      </c>
      <c r="BE29" s="44">
        <v>0</v>
      </c>
      <c r="BF29" s="44">
        <v>0</v>
      </c>
      <c r="BG29" s="44" t="s">
        <v>208</v>
      </c>
      <c r="BH29" s="44">
        <v>0</v>
      </c>
      <c r="BI29" s="44">
        <v>0</v>
      </c>
      <c r="BJ29" s="44">
        <v>1</v>
      </c>
      <c r="BK29" s="44">
        <v>1</v>
      </c>
      <c r="BL29" s="44">
        <v>1</v>
      </c>
      <c r="BM29" s="44">
        <v>12.7</v>
      </c>
      <c r="BN29" s="44">
        <v>1</v>
      </c>
      <c r="BO29" s="44">
        <v>2.5</v>
      </c>
      <c r="BP29" s="41">
        <v>1.455</v>
      </c>
      <c r="BQ29" s="41">
        <v>1</v>
      </c>
      <c r="BR29" s="41">
        <v>0</v>
      </c>
      <c r="BS29" s="41">
        <v>0.03</v>
      </c>
      <c r="BT29" s="41">
        <v>1</v>
      </c>
      <c r="BU29" s="41">
        <v>115</v>
      </c>
      <c r="BV29" s="41">
        <v>1</v>
      </c>
      <c r="BW29" s="41">
        <v>2</v>
      </c>
      <c r="BX29" s="41">
        <v>3.67</v>
      </c>
      <c r="BY29" s="41">
        <v>0</v>
      </c>
      <c r="BZ29" s="41">
        <v>0</v>
      </c>
      <c r="CA29" s="41">
        <v>1</v>
      </c>
      <c r="CB29" s="41">
        <v>1.25</v>
      </c>
      <c r="CC29" s="41">
        <v>1</v>
      </c>
      <c r="CD29" s="41">
        <v>10</v>
      </c>
      <c r="CE29" s="41">
        <v>30</v>
      </c>
      <c r="CF29" s="41">
        <v>9999</v>
      </c>
      <c r="CG29" s="41">
        <v>2</v>
      </c>
      <c r="CH29" s="41">
        <v>1.2</v>
      </c>
      <c r="CI29" s="41">
        <v>5</v>
      </c>
      <c r="CJ29" s="41">
        <v>0.05</v>
      </c>
      <c r="CK29" s="41">
        <v>20</v>
      </c>
      <c r="CL29" s="41">
        <v>0.1</v>
      </c>
      <c r="CM29" s="41">
        <v>0.1</v>
      </c>
      <c r="CN29" s="41">
        <v>30</v>
      </c>
      <c r="CO29" s="41">
        <v>30</v>
      </c>
      <c r="CP29" s="41" t="s">
        <v>209</v>
      </c>
      <c r="CQ29" s="41">
        <v>0</v>
      </c>
      <c r="CR29" s="41">
        <v>0</v>
      </c>
      <c r="CS29" s="51">
        <v>200</v>
      </c>
      <c r="CT29" s="51">
        <v>1.95</v>
      </c>
      <c r="CU29" s="51">
        <v>5.08</v>
      </c>
    </row>
    <row r="30" s="4" customFormat="1" spans="1:99">
      <c r="A30" s="16" t="s">
        <v>204</v>
      </c>
      <c r="B30" s="17" t="str">
        <f t="shared" si="10"/>
        <v>101902</v>
      </c>
      <c r="C30" s="43" t="str">
        <f>IF(COUNTIF(B:B,B30)&gt;1,"重复","唯一")</f>
        <v>唯一</v>
      </c>
      <c r="D30" s="18">
        <v>1019</v>
      </c>
      <c r="E30" s="4">
        <v>2</v>
      </c>
      <c r="F30" s="4" t="s">
        <v>257</v>
      </c>
      <c r="G30" s="19">
        <v>0.2</v>
      </c>
      <c r="H30" s="19">
        <v>0.4</v>
      </c>
      <c r="I30" s="19">
        <f t="shared" si="12"/>
        <v>0</v>
      </c>
      <c r="J30" s="20">
        <v>0.0002</v>
      </c>
      <c r="K30" s="19">
        <f>L30/3</f>
        <v>0</v>
      </c>
      <c r="L30" s="20">
        <v>0</v>
      </c>
      <c r="M30" s="20">
        <v>0.00233</v>
      </c>
      <c r="N30" s="20">
        <v>0.0017</v>
      </c>
      <c r="O30" s="19">
        <v>0</v>
      </c>
      <c r="P30" s="19">
        <v>0</v>
      </c>
      <c r="Q30" s="19">
        <f t="shared" si="1"/>
        <v>0.00233</v>
      </c>
      <c r="R30" s="19">
        <f t="shared" si="2"/>
        <v>0.00233</v>
      </c>
      <c r="S30" s="19">
        <f t="shared" si="3"/>
        <v>0.095428</v>
      </c>
      <c r="T30" s="19">
        <f t="shared" si="4"/>
        <v>0.0831792</v>
      </c>
      <c r="U30" s="19">
        <f t="shared" si="5"/>
        <v>0.0427958557377049</v>
      </c>
      <c r="V30" s="20">
        <f>0.16229-Q30</f>
        <v>0.15996</v>
      </c>
      <c r="W30" s="19">
        <v>0</v>
      </c>
      <c r="X30" s="19">
        <v>0</v>
      </c>
      <c r="Y30" s="19">
        <f t="shared" si="6"/>
        <v>0.102729866666667</v>
      </c>
      <c r="Z30" s="19">
        <f t="shared" si="7"/>
        <v>0.0543864</v>
      </c>
      <c r="AA30" s="19">
        <f t="shared" si="8"/>
        <v>0.047714</v>
      </c>
      <c r="AB30" s="19">
        <f t="shared" si="9"/>
        <v>0.0127237333333333</v>
      </c>
      <c r="AC30" s="20">
        <f>0.23857*0.6</f>
        <v>0.143142</v>
      </c>
      <c r="AD30" s="19">
        <v>1</v>
      </c>
      <c r="AE30" s="19">
        <v>1</v>
      </c>
      <c r="AF30" s="21">
        <v>1</v>
      </c>
      <c r="AG30" s="44">
        <v>3</v>
      </c>
      <c r="AH30" s="44">
        <v>0</v>
      </c>
      <c r="AI30" s="44">
        <v>35</v>
      </c>
      <c r="AJ30" s="44">
        <v>10</v>
      </c>
      <c r="AK30" s="44">
        <v>0</v>
      </c>
      <c r="AL30" s="44">
        <v>0</v>
      </c>
      <c r="AM30" s="45">
        <v>1</v>
      </c>
      <c r="AN30" s="44">
        <v>5</v>
      </c>
      <c r="AO30" s="44">
        <v>0.65</v>
      </c>
      <c r="AP30" s="44">
        <v>1</v>
      </c>
      <c r="AQ30" s="44">
        <v>1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0</v>
      </c>
      <c r="AZ30" s="44">
        <v>6</v>
      </c>
      <c r="BA30" s="44">
        <v>6</v>
      </c>
      <c r="BB30" s="44">
        <v>1</v>
      </c>
      <c r="BC30" s="44">
        <v>0</v>
      </c>
      <c r="BD30" s="44">
        <v>0</v>
      </c>
      <c r="BE30" s="44">
        <v>0</v>
      </c>
      <c r="BF30" s="44">
        <v>0</v>
      </c>
      <c r="BG30" s="44" t="s">
        <v>208</v>
      </c>
      <c r="BH30" s="44">
        <v>0</v>
      </c>
      <c r="BI30" s="44">
        <v>0</v>
      </c>
      <c r="BJ30" s="44">
        <v>1</v>
      </c>
      <c r="BK30" s="44">
        <v>1</v>
      </c>
      <c r="BL30" s="44">
        <v>1</v>
      </c>
      <c r="BM30" s="44">
        <v>12.7</v>
      </c>
      <c r="BN30" s="44">
        <v>1</v>
      </c>
      <c r="BO30" s="44">
        <v>2.5</v>
      </c>
      <c r="BP30" s="41">
        <v>1.455</v>
      </c>
      <c r="BQ30" s="41">
        <v>1</v>
      </c>
      <c r="BR30" s="41">
        <v>0</v>
      </c>
      <c r="BS30" s="41">
        <v>0.03</v>
      </c>
      <c r="BT30" s="41">
        <v>1</v>
      </c>
      <c r="BU30" s="41">
        <v>115</v>
      </c>
      <c r="BV30" s="41">
        <v>1</v>
      </c>
      <c r="BW30" s="41">
        <v>2</v>
      </c>
      <c r="BX30" s="41">
        <v>3.67</v>
      </c>
      <c r="BY30" s="41">
        <v>0</v>
      </c>
      <c r="BZ30" s="41">
        <v>0</v>
      </c>
      <c r="CA30" s="41">
        <v>1</v>
      </c>
      <c r="CB30" s="41">
        <v>1.25</v>
      </c>
      <c r="CC30" s="41">
        <v>1</v>
      </c>
      <c r="CD30" s="41">
        <v>10</v>
      </c>
      <c r="CE30" s="41">
        <v>30</v>
      </c>
      <c r="CF30" s="41">
        <v>9999</v>
      </c>
      <c r="CG30" s="41">
        <v>2</v>
      </c>
      <c r="CH30" s="41">
        <v>1.2</v>
      </c>
      <c r="CI30" s="41">
        <v>5</v>
      </c>
      <c r="CJ30" s="41">
        <v>0.05</v>
      </c>
      <c r="CK30" s="41">
        <v>20</v>
      </c>
      <c r="CL30" s="41">
        <v>0.1</v>
      </c>
      <c r="CM30" s="41">
        <v>0.1</v>
      </c>
      <c r="CN30" s="41">
        <v>30</v>
      </c>
      <c r="CO30" s="41">
        <v>30</v>
      </c>
      <c r="CP30" s="41" t="s">
        <v>209</v>
      </c>
      <c r="CQ30" s="41">
        <v>0</v>
      </c>
      <c r="CR30" s="41">
        <v>0</v>
      </c>
      <c r="CS30" s="51">
        <v>200</v>
      </c>
      <c r="CT30" s="51">
        <v>1.95</v>
      </c>
      <c r="CU30" s="51">
        <v>5.08</v>
      </c>
    </row>
    <row r="35" ht="17.25" spans="39:40">
      <c r="AM35" s="46"/>
      <c r="AN35" s="47"/>
    </row>
    <row r="36" spans="39:39">
      <c r="AM36" s="48"/>
    </row>
    <row r="37" spans="39:39">
      <c r="AM37" s="48"/>
    </row>
    <row r="38" spans="39:39">
      <c r="AM38" s="48"/>
    </row>
    <row r="39" spans="39:39">
      <c r="AM39" s="48"/>
    </row>
    <row r="40" spans="39:39">
      <c r="AM40" s="48"/>
    </row>
    <row r="41" spans="39:39">
      <c r="AM41" s="48"/>
    </row>
    <row r="42" spans="39:39">
      <c r="AM42" s="48"/>
    </row>
    <row r="43" spans="39:39">
      <c r="AM43" s="48"/>
    </row>
    <row r="44" spans="39:39">
      <c r="AM44" s="48"/>
    </row>
    <row r="45" spans="39:39">
      <c r="AM45" s="48"/>
    </row>
    <row r="46" spans="39:39">
      <c r="AM46" s="48"/>
    </row>
    <row r="47" spans="39:39">
      <c r="AM47" s="48"/>
    </row>
    <row r="48" spans="39:39">
      <c r="AM48" s="48"/>
    </row>
    <row r="49" spans="39:39">
      <c r="AM49" s="48"/>
    </row>
    <row r="50" spans="39:39">
      <c r="AM50" s="48"/>
    </row>
    <row r="51" spans="39:39">
      <c r="AM51" s="48"/>
    </row>
    <row r="52" spans="39:39">
      <c r="AM52" s="48"/>
    </row>
    <row r="53" spans="39:39">
      <c r="AM53" s="48"/>
    </row>
    <row r="54" spans="39:39">
      <c r="AM54" s="48"/>
    </row>
    <row r="55" spans="39:39">
      <c r="AM55" s="48"/>
    </row>
    <row r="56" spans="39:39">
      <c r="AM56" s="48"/>
    </row>
    <row r="57" spans="39:39">
      <c r="AM57" s="48"/>
    </row>
    <row r="58" spans="39:39">
      <c r="AM58" s="48"/>
    </row>
    <row r="59" spans="39:39">
      <c r="AM59" s="48"/>
    </row>
    <row r="60" spans="39:39">
      <c r="AM60" s="48"/>
    </row>
    <row r="61" spans="39:39">
      <c r="AM61" s="48"/>
    </row>
    <row r="62" spans="39:39">
      <c r="AM62" s="48"/>
    </row>
    <row r="63" spans="39:39">
      <c r="AM63" s="48"/>
    </row>
    <row r="64" spans="39:39">
      <c r="AM64" s="48"/>
    </row>
    <row r="65" spans="39:39">
      <c r="AM65" s="48"/>
    </row>
    <row r="66" spans="39:39">
      <c r="AM66" s="48"/>
    </row>
    <row r="67" spans="39:39">
      <c r="AM67" s="48"/>
    </row>
    <row r="68" spans="39:39">
      <c r="AM68" s="48"/>
    </row>
    <row r="69" spans="39:39">
      <c r="AM69" s="48"/>
    </row>
    <row r="70" spans="39:39">
      <c r="AM70" s="48"/>
    </row>
    <row r="71" spans="39:39">
      <c r="AM71" s="48"/>
    </row>
    <row r="72" spans="39:39">
      <c r="AM72" s="48"/>
    </row>
    <row r="73" spans="39:39">
      <c r="AM73" s="48"/>
    </row>
    <row r="74" spans="39:39">
      <c r="AM74" s="48"/>
    </row>
    <row r="75" spans="39:39">
      <c r="AM75" s="48"/>
    </row>
    <row r="76" spans="39:39">
      <c r="AM76" s="48"/>
    </row>
    <row r="77" spans="39:39">
      <c r="AM77" s="48"/>
    </row>
    <row r="78" spans="39:39">
      <c r="AM78" s="48"/>
    </row>
    <row r="79" spans="39:39">
      <c r="AM79" s="48"/>
    </row>
    <row r="80" spans="39:39">
      <c r="AM80" s="48"/>
    </row>
    <row r="81" spans="39:39">
      <c r="AM81" s="48"/>
    </row>
    <row r="82" spans="39:39">
      <c r="AM82" s="48"/>
    </row>
    <row r="83" spans="39:39">
      <c r="AM83" s="48"/>
    </row>
    <row r="84" spans="39:39">
      <c r="AM84" s="48"/>
    </row>
    <row r="85" spans="39:39">
      <c r="AM85" s="48"/>
    </row>
    <row r="86" spans="39:39">
      <c r="AM86" s="48"/>
    </row>
    <row r="87" spans="39:39">
      <c r="AM87" s="48"/>
    </row>
    <row r="88" spans="39:39">
      <c r="AM88" s="48"/>
    </row>
    <row r="89" spans="39:39">
      <c r="AM89" s="48"/>
    </row>
    <row r="90" spans="39:39">
      <c r="AM90" s="48"/>
    </row>
    <row r="91" spans="39:39">
      <c r="AM91" s="48"/>
    </row>
    <row r="92" spans="39:39">
      <c r="AM92" s="48"/>
    </row>
    <row r="93" spans="39:39">
      <c r="AM93" s="48"/>
    </row>
    <row r="94" spans="39:39">
      <c r="AM94" s="48"/>
    </row>
    <row r="95" spans="39:39">
      <c r="AM95" s="48"/>
    </row>
    <row r="96" spans="39:39">
      <c r="AM96" s="48"/>
    </row>
    <row r="97" spans="39:39">
      <c r="AM97" s="48"/>
    </row>
    <row r="98" spans="39:39">
      <c r="AM98" s="48"/>
    </row>
    <row r="99" spans="39:39">
      <c r="AM99" s="48"/>
    </row>
    <row r="100" spans="39:39">
      <c r="AM100" s="48"/>
    </row>
    <row r="101" spans="39:39">
      <c r="AM101" s="48"/>
    </row>
    <row r="102" spans="39:39">
      <c r="AM102" s="48"/>
    </row>
    <row r="103" spans="39:39">
      <c r="AM103" s="48"/>
    </row>
    <row r="104" spans="39:39">
      <c r="AM104" s="48"/>
    </row>
  </sheetData>
  <conditionalFormatting sqref="J29">
    <cfRule type="duplicateValues" dxfId="0" priority="123"/>
  </conditionalFormatting>
  <conditionalFormatting sqref="L9:L10 L13:L30">
    <cfRule type="cellIs" dxfId="1" priority="140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9"/>
  <sheetViews>
    <sheetView zoomScale="70" zoomScaleNormal="70" workbookViewId="0">
      <pane xSplit="6" ySplit="5" topLeftCell="CF6" activePane="bottomRight" state="frozen"/>
      <selection/>
      <selection pane="topRight"/>
      <selection pane="bottomLeft"/>
      <selection pane="bottomRight" activeCell="CP5" sqref="CP5"/>
    </sheetView>
  </sheetViews>
  <sheetFormatPr defaultColWidth="9" defaultRowHeight="16.5"/>
  <cols>
    <col min="1" max="1" width="13.375" style="3" customWidth="1"/>
    <col min="2" max="2" width="19.625" style="4" customWidth="1"/>
    <col min="3" max="3" width="10.875" style="4" customWidth="1"/>
    <col min="4" max="4" width="14" style="4" customWidth="1"/>
    <col min="5" max="5" width="10.875" style="4" customWidth="1"/>
    <col min="6" max="6" width="11.625" style="5" customWidth="1"/>
    <col min="7" max="32" width="13.125" style="6" customWidth="1"/>
    <col min="33" max="90" width="13.125" style="5" customWidth="1"/>
    <col min="91" max="91" width="13.125" style="4" customWidth="1"/>
    <col min="92" max="104" width="13.125" style="5" customWidth="1"/>
    <col min="105" max="16384" width="9" style="5"/>
  </cols>
  <sheetData>
    <row r="1" s="1" customFormat="1" spans="1:96">
      <c r="A1" s="7" t="s">
        <v>0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33"/>
      <c r="CN1" s="28"/>
      <c r="CO1" s="28"/>
      <c r="CP1" s="34"/>
      <c r="CQ1" s="34"/>
      <c r="CR1" s="34"/>
    </row>
    <row r="2" s="1" customFormat="1" spans="1:96">
      <c r="A2" s="9" t="s">
        <v>2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35"/>
      <c r="CN2" s="29"/>
      <c r="CO2" s="29"/>
      <c r="CP2" s="36"/>
      <c r="CQ2" s="36"/>
      <c r="CR2" s="36"/>
    </row>
    <row r="3" s="1" customFormat="1" spans="1:96">
      <c r="A3" s="9" t="s">
        <v>3</v>
      </c>
      <c r="B3" s="9"/>
      <c r="C3" s="9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35"/>
      <c r="CN3" s="29"/>
      <c r="CO3" s="29"/>
      <c r="CP3" s="36"/>
      <c r="CQ3" s="36"/>
      <c r="CR3" s="36"/>
    </row>
    <row r="4" s="2" customFormat="1" ht="115.5" spans="1:96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  <c r="M4" s="12" t="s">
        <v>18</v>
      </c>
      <c r="N4" s="12" t="s">
        <v>19</v>
      </c>
      <c r="O4" s="12" t="s">
        <v>20</v>
      </c>
      <c r="P4" s="12" t="s">
        <v>21</v>
      </c>
      <c r="Q4" s="12" t="s">
        <v>22</v>
      </c>
      <c r="R4" s="12" t="s">
        <v>23</v>
      </c>
      <c r="S4" s="12" t="s">
        <v>24</v>
      </c>
      <c r="T4" s="12" t="s">
        <v>25</v>
      </c>
      <c r="U4" s="12" t="s">
        <v>26</v>
      </c>
      <c r="V4" s="12" t="s">
        <v>27</v>
      </c>
      <c r="W4" s="12" t="s">
        <v>28</v>
      </c>
      <c r="X4" s="12" t="s">
        <v>29</v>
      </c>
      <c r="Y4" s="12" t="s">
        <v>30</v>
      </c>
      <c r="Z4" s="12" t="s">
        <v>31</v>
      </c>
      <c r="AA4" s="12" t="s">
        <v>32</v>
      </c>
      <c r="AB4" s="12" t="s">
        <v>33</v>
      </c>
      <c r="AC4" s="12" t="s">
        <v>34</v>
      </c>
      <c r="AD4" s="12" t="s">
        <v>35</v>
      </c>
      <c r="AE4" s="12" t="s">
        <v>36</v>
      </c>
      <c r="AF4" s="12" t="s">
        <v>37</v>
      </c>
      <c r="AG4" s="24" t="s">
        <v>38</v>
      </c>
      <c r="AH4" s="24" t="s">
        <v>39</v>
      </c>
      <c r="AI4" s="24" t="s">
        <v>40</v>
      </c>
      <c r="AJ4" s="24" t="s">
        <v>41</v>
      </c>
      <c r="AK4" s="24" t="s">
        <v>42</v>
      </c>
      <c r="AL4" s="24" t="s">
        <v>43</v>
      </c>
      <c r="AM4" s="24" t="s">
        <v>44</v>
      </c>
      <c r="AN4" s="24" t="s">
        <v>45</v>
      </c>
      <c r="AO4" s="24" t="s">
        <v>46</v>
      </c>
      <c r="AP4" s="24" t="s">
        <v>47</v>
      </c>
      <c r="AQ4" s="24" t="s">
        <v>48</v>
      </c>
      <c r="AR4" s="24" t="s">
        <v>49</v>
      </c>
      <c r="AS4" s="24" t="s">
        <v>50</v>
      </c>
      <c r="AT4" s="24" t="s">
        <v>51</v>
      </c>
      <c r="AU4" s="24" t="s">
        <v>52</v>
      </c>
      <c r="AV4" s="24" t="s">
        <v>53</v>
      </c>
      <c r="AW4" s="24" t="s">
        <v>54</v>
      </c>
      <c r="AX4" s="24" t="s">
        <v>55</v>
      </c>
      <c r="AY4" s="24" t="s">
        <v>56</v>
      </c>
      <c r="AZ4" s="24" t="s">
        <v>57</v>
      </c>
      <c r="BA4" s="24" t="s">
        <v>58</v>
      </c>
      <c r="BB4" s="24" t="s">
        <v>59</v>
      </c>
      <c r="BC4" s="24" t="s">
        <v>60</v>
      </c>
      <c r="BD4" s="24" t="s">
        <v>61</v>
      </c>
      <c r="BE4" s="24" t="s">
        <v>62</v>
      </c>
      <c r="BF4" s="24" t="s">
        <v>63</v>
      </c>
      <c r="BG4" s="24" t="s">
        <v>64</v>
      </c>
      <c r="BH4" s="24" t="s">
        <v>65</v>
      </c>
      <c r="BI4" s="24" t="s">
        <v>258</v>
      </c>
      <c r="BJ4" s="24" t="s">
        <v>67</v>
      </c>
      <c r="BK4" s="24" t="s">
        <v>68</v>
      </c>
      <c r="BL4" s="24" t="s">
        <v>69</v>
      </c>
      <c r="BM4" s="30" t="s">
        <v>73</v>
      </c>
      <c r="BN4" s="30" t="s">
        <v>74</v>
      </c>
      <c r="BO4" s="30" t="s">
        <v>75</v>
      </c>
      <c r="BP4" s="30" t="s">
        <v>76</v>
      </c>
      <c r="BQ4" s="30" t="s">
        <v>77</v>
      </c>
      <c r="BR4" s="30" t="s">
        <v>78</v>
      </c>
      <c r="BS4" s="30" t="s">
        <v>79</v>
      </c>
      <c r="BT4" s="30" t="s">
        <v>80</v>
      </c>
      <c r="BU4" s="30" t="s">
        <v>81</v>
      </c>
      <c r="BV4" s="30" t="s">
        <v>82</v>
      </c>
      <c r="BW4" s="30" t="s">
        <v>83</v>
      </c>
      <c r="BX4" s="30" t="s">
        <v>84</v>
      </c>
      <c r="BY4" s="30" t="s">
        <v>85</v>
      </c>
      <c r="BZ4" s="30" t="s">
        <v>86</v>
      </c>
      <c r="CA4" s="30" t="s">
        <v>87</v>
      </c>
      <c r="CB4" s="30" t="s">
        <v>88</v>
      </c>
      <c r="CC4" s="30" t="s">
        <v>89</v>
      </c>
      <c r="CD4" s="30" t="s">
        <v>90</v>
      </c>
      <c r="CE4" s="30" t="s">
        <v>91</v>
      </c>
      <c r="CF4" s="30" t="s">
        <v>92</v>
      </c>
      <c r="CG4" s="30" t="s">
        <v>93</v>
      </c>
      <c r="CH4" s="30" t="s">
        <v>94</v>
      </c>
      <c r="CI4" s="30" t="s">
        <v>95</v>
      </c>
      <c r="CJ4" s="30" t="s">
        <v>96</v>
      </c>
      <c r="CK4" s="30" t="s">
        <v>98</v>
      </c>
      <c r="CL4" s="30" t="s">
        <v>97</v>
      </c>
      <c r="CM4" s="37" t="s">
        <v>259</v>
      </c>
      <c r="CN4" s="30" t="s">
        <v>100</v>
      </c>
      <c r="CO4" s="30" t="s">
        <v>101</v>
      </c>
      <c r="CP4" s="38" t="s">
        <v>102</v>
      </c>
      <c r="CQ4" s="38" t="s">
        <v>103</v>
      </c>
      <c r="CR4" s="38" t="s">
        <v>104</v>
      </c>
    </row>
    <row r="5" s="2" customFormat="1" ht="49.5" spans="1:96">
      <c r="A5" s="13" t="s">
        <v>105</v>
      </c>
      <c r="B5" s="13" t="s">
        <v>106</v>
      </c>
      <c r="C5" s="13"/>
      <c r="D5" s="13" t="s">
        <v>107</v>
      </c>
      <c r="E5" s="13"/>
      <c r="F5" s="13"/>
      <c r="G5" s="10" t="s">
        <v>108</v>
      </c>
      <c r="H5" s="10" t="s">
        <v>109</v>
      </c>
      <c r="I5" s="10" t="s">
        <v>110</v>
      </c>
      <c r="J5" s="10" t="s">
        <v>111</v>
      </c>
      <c r="K5" s="10" t="s">
        <v>112</v>
      </c>
      <c r="L5" s="10" t="s">
        <v>113</v>
      </c>
      <c r="M5" s="10" t="s">
        <v>114</v>
      </c>
      <c r="N5" s="10" t="s">
        <v>115</v>
      </c>
      <c r="O5" s="10" t="s">
        <v>116</v>
      </c>
      <c r="P5" s="10" t="s">
        <v>117</v>
      </c>
      <c r="Q5" s="10" t="s">
        <v>118</v>
      </c>
      <c r="R5" s="10" t="s">
        <v>119</v>
      </c>
      <c r="S5" s="10" t="s">
        <v>120</v>
      </c>
      <c r="T5" s="10" t="s">
        <v>121</v>
      </c>
      <c r="U5" s="10" t="s">
        <v>122</v>
      </c>
      <c r="V5" s="10" t="s">
        <v>123</v>
      </c>
      <c r="W5" s="10" t="s">
        <v>124</v>
      </c>
      <c r="X5" s="10" t="s">
        <v>125</v>
      </c>
      <c r="Y5" s="10" t="s">
        <v>126</v>
      </c>
      <c r="Z5" s="10" t="s">
        <v>127</v>
      </c>
      <c r="AA5" s="10" t="s">
        <v>128</v>
      </c>
      <c r="AB5" s="10" t="s">
        <v>129</v>
      </c>
      <c r="AC5" s="10" t="s">
        <v>130</v>
      </c>
      <c r="AD5" s="10" t="s">
        <v>131</v>
      </c>
      <c r="AE5" s="10" t="s">
        <v>132</v>
      </c>
      <c r="AF5" s="10" t="s">
        <v>133</v>
      </c>
      <c r="AG5" s="24" t="s">
        <v>134</v>
      </c>
      <c r="AH5" s="24" t="s">
        <v>135</v>
      </c>
      <c r="AI5" s="24" t="s">
        <v>136</v>
      </c>
      <c r="AJ5" s="24" t="s">
        <v>137</v>
      </c>
      <c r="AK5" s="24" t="s">
        <v>138</v>
      </c>
      <c r="AL5" s="24" t="s">
        <v>260</v>
      </c>
      <c r="AM5" s="24" t="s">
        <v>140</v>
      </c>
      <c r="AN5" s="24" t="s">
        <v>141</v>
      </c>
      <c r="AO5" s="24" t="s">
        <v>142</v>
      </c>
      <c r="AP5" s="24" t="s">
        <v>143</v>
      </c>
      <c r="AQ5" s="24" t="s">
        <v>144</v>
      </c>
      <c r="AR5" s="24" t="s">
        <v>145</v>
      </c>
      <c r="AS5" s="24" t="s">
        <v>146</v>
      </c>
      <c r="AT5" s="24" t="s">
        <v>147</v>
      </c>
      <c r="AU5" s="24" t="s">
        <v>148</v>
      </c>
      <c r="AV5" s="24" t="s">
        <v>149</v>
      </c>
      <c r="AW5" s="24" t="s">
        <v>150</v>
      </c>
      <c r="AX5" s="24" t="s">
        <v>151</v>
      </c>
      <c r="AY5" s="24" t="s">
        <v>152</v>
      </c>
      <c r="AZ5" s="24" t="s">
        <v>153</v>
      </c>
      <c r="BA5" s="24" t="s">
        <v>154</v>
      </c>
      <c r="BB5" s="24" t="s">
        <v>155</v>
      </c>
      <c r="BC5" s="24" t="s">
        <v>156</v>
      </c>
      <c r="BD5" s="24" t="s">
        <v>157</v>
      </c>
      <c r="BE5" s="24" t="s">
        <v>158</v>
      </c>
      <c r="BF5" s="24" t="s">
        <v>159</v>
      </c>
      <c r="BG5" s="24" t="s">
        <v>160</v>
      </c>
      <c r="BH5" s="24" t="s">
        <v>161</v>
      </c>
      <c r="BI5" s="24" t="s">
        <v>162</v>
      </c>
      <c r="BJ5" s="24" t="s">
        <v>163</v>
      </c>
      <c r="BK5" s="24" t="s">
        <v>164</v>
      </c>
      <c r="BL5" s="24" t="s">
        <v>165</v>
      </c>
      <c r="BM5" s="30" t="s">
        <v>169</v>
      </c>
      <c r="BN5" s="30" t="s">
        <v>170</v>
      </c>
      <c r="BO5" s="30" t="s">
        <v>171</v>
      </c>
      <c r="BP5" s="30" t="s">
        <v>172</v>
      </c>
      <c r="BQ5" s="30" t="s">
        <v>173</v>
      </c>
      <c r="BR5" s="30" t="s">
        <v>174</v>
      </c>
      <c r="BS5" s="30" t="s">
        <v>175</v>
      </c>
      <c r="BT5" s="30" t="s">
        <v>176</v>
      </c>
      <c r="BU5" s="30" t="s">
        <v>177</v>
      </c>
      <c r="BV5" s="30" t="s">
        <v>178</v>
      </c>
      <c r="BW5" s="30" t="s">
        <v>179</v>
      </c>
      <c r="BX5" s="30" t="s">
        <v>180</v>
      </c>
      <c r="BY5" s="30" t="s">
        <v>181</v>
      </c>
      <c r="BZ5" s="30" t="s">
        <v>182</v>
      </c>
      <c r="CA5" s="30" t="s">
        <v>183</v>
      </c>
      <c r="CB5" s="30" t="s">
        <v>184</v>
      </c>
      <c r="CC5" s="30" t="s">
        <v>185</v>
      </c>
      <c r="CD5" s="30" t="s">
        <v>186</v>
      </c>
      <c r="CE5" s="30" t="s">
        <v>187</v>
      </c>
      <c r="CF5" s="30" t="s">
        <v>188</v>
      </c>
      <c r="CG5" s="30" t="s">
        <v>189</v>
      </c>
      <c r="CH5" s="30" t="s">
        <v>190</v>
      </c>
      <c r="CI5" s="30" t="s">
        <v>191</v>
      </c>
      <c r="CJ5" s="30" t="s">
        <v>192</v>
      </c>
      <c r="CK5" s="30" t="s">
        <v>194</v>
      </c>
      <c r="CL5" s="30" t="s">
        <v>194</v>
      </c>
      <c r="CM5" s="37" t="s">
        <v>195</v>
      </c>
      <c r="CN5" s="30" t="s">
        <v>196</v>
      </c>
      <c r="CO5" s="30" t="s">
        <v>197</v>
      </c>
      <c r="CP5" s="38" t="s">
        <v>198</v>
      </c>
      <c r="CQ5" s="38" t="s">
        <v>199</v>
      </c>
      <c r="CR5" s="38" t="s">
        <v>200</v>
      </c>
    </row>
    <row r="6" s="1" customFormat="1" spans="1:96">
      <c r="A6" s="9" t="s">
        <v>201</v>
      </c>
      <c r="B6" s="9"/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35" t="s">
        <v>261</v>
      </c>
      <c r="CN6" s="29"/>
      <c r="CO6" s="29"/>
      <c r="CP6" s="36"/>
      <c r="CQ6" s="36"/>
      <c r="CR6" s="36"/>
    </row>
    <row r="7" s="1" customFormat="1" spans="1:96">
      <c r="A7" s="14" t="s">
        <v>203</v>
      </c>
      <c r="B7" s="14"/>
      <c r="C7" s="14"/>
      <c r="D7" s="14" t="s">
        <v>262</v>
      </c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9"/>
      <c r="CN7" s="31"/>
      <c r="CO7" s="31"/>
      <c r="CP7" s="40"/>
      <c r="CQ7" s="40"/>
      <c r="CR7" s="40"/>
    </row>
    <row r="8" spans="1:93">
      <c r="A8" s="16"/>
      <c r="B8" s="17" t="str">
        <f>D8&amp;IF(LENB(E8)=1,0&amp;E8,E8)</f>
        <v>100101</v>
      </c>
      <c r="C8" s="4" t="s">
        <v>205</v>
      </c>
      <c r="D8" s="18">
        <v>1001</v>
      </c>
      <c r="E8" s="4">
        <v>1</v>
      </c>
      <c r="F8" s="4" t="s">
        <v>206</v>
      </c>
      <c r="G8" s="19">
        <v>0</v>
      </c>
      <c r="H8" s="19">
        <v>0.4</v>
      </c>
      <c r="I8" s="19">
        <f>K8*10/2</f>
        <v>0.05275</v>
      </c>
      <c r="J8" s="20">
        <v>0.002</v>
      </c>
      <c r="K8" s="19">
        <f>L8/3</f>
        <v>0.01055</v>
      </c>
      <c r="L8" s="20">
        <v>0.03165</v>
      </c>
      <c r="M8" s="20">
        <v>0.00908</v>
      </c>
      <c r="N8" s="20">
        <v>0.00687</v>
      </c>
      <c r="O8" s="19">
        <v>0</v>
      </c>
      <c r="P8" s="19">
        <v>0</v>
      </c>
      <c r="Q8" s="19">
        <f>M8</f>
        <v>0.00908</v>
      </c>
      <c r="R8" s="19">
        <f>M8</f>
        <v>0.00908</v>
      </c>
      <c r="S8" s="19">
        <f>AC8/0.6*0.4</f>
        <v>0.07346</v>
      </c>
      <c r="T8" s="19">
        <f>V8*0.52</f>
        <v>0.0115752</v>
      </c>
      <c r="U8" s="19">
        <f>(V8-T8)/((0.95-0.34)/0.34)</f>
        <v>0.00595546229508197</v>
      </c>
      <c r="V8" s="20">
        <f>0.03134-Q8</f>
        <v>0.02226</v>
      </c>
      <c r="W8" s="19">
        <v>0</v>
      </c>
      <c r="X8" s="19">
        <v>0</v>
      </c>
      <c r="Y8" s="19">
        <f>(Z8-X8)/((0.52-0.34)/0.34)</f>
        <v>0.0142958666666667</v>
      </c>
      <c r="Z8" s="19">
        <f>V8*0.34</f>
        <v>0.0075684</v>
      </c>
      <c r="AA8" s="19">
        <f>AC8/3</f>
        <v>0.03673</v>
      </c>
      <c r="AB8" s="19">
        <f>(AC8-AA8)/7.5</f>
        <v>0.00979466666666667</v>
      </c>
      <c r="AC8" s="20">
        <f>0.18365*0.6</f>
        <v>0.11019</v>
      </c>
      <c r="AD8" s="19">
        <v>1</v>
      </c>
      <c r="AE8" s="19">
        <v>1</v>
      </c>
      <c r="AF8" s="21">
        <v>1</v>
      </c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41"/>
      <c r="CN8" s="32"/>
      <c r="CO8" s="32"/>
    </row>
    <row r="9" ht="313.5" spans="2:96">
      <c r="B9" s="6" t="s">
        <v>263</v>
      </c>
      <c r="E9" s="6" t="s">
        <v>264</v>
      </c>
      <c r="G9" s="6" t="s">
        <v>265</v>
      </c>
      <c r="H9" s="6" t="s">
        <v>266</v>
      </c>
      <c r="I9" s="6" t="s">
        <v>267</v>
      </c>
      <c r="J9" s="6" t="s">
        <v>268</v>
      </c>
      <c r="L9" s="6" t="s">
        <v>269</v>
      </c>
      <c r="M9" s="6" t="s">
        <v>270</v>
      </c>
      <c r="P9" s="6" t="s">
        <v>271</v>
      </c>
      <c r="Q9" s="6" t="s">
        <v>271</v>
      </c>
      <c r="S9" s="6" t="s">
        <v>272</v>
      </c>
      <c r="T9" s="6" t="s">
        <v>273</v>
      </c>
      <c r="U9" s="6" t="s">
        <v>274</v>
      </c>
      <c r="V9" s="6" t="s">
        <v>275</v>
      </c>
      <c r="W9" s="6" t="s">
        <v>276</v>
      </c>
      <c r="X9" s="6" t="s">
        <v>277</v>
      </c>
      <c r="Y9" s="6" t="s">
        <v>278</v>
      </c>
      <c r="AA9" s="6" t="s">
        <v>279</v>
      </c>
      <c r="AB9" s="6" t="s">
        <v>280</v>
      </c>
      <c r="AC9" s="6" t="s">
        <v>281</v>
      </c>
      <c r="AF9" s="6" t="s">
        <v>282</v>
      </c>
      <c r="AG9" s="27" t="s">
        <v>283</v>
      </c>
      <c r="AH9" s="27" t="s">
        <v>284</v>
      </c>
      <c r="AI9" s="27" t="s">
        <v>285</v>
      </c>
      <c r="AJ9" s="27" t="s">
        <v>286</v>
      </c>
      <c r="AK9" s="27" t="s">
        <v>287</v>
      </c>
      <c r="AL9" s="27"/>
      <c r="AM9" s="27" t="s">
        <v>288</v>
      </c>
      <c r="AN9" s="27" t="s">
        <v>289</v>
      </c>
      <c r="AO9" s="27"/>
      <c r="AP9" s="27"/>
      <c r="AQ9" s="27"/>
      <c r="AR9" s="27" t="s">
        <v>290</v>
      </c>
      <c r="AS9" s="27" t="s">
        <v>290</v>
      </c>
      <c r="AT9" s="27" t="s">
        <v>290</v>
      </c>
      <c r="AU9" s="27" t="s">
        <v>291</v>
      </c>
      <c r="AV9" s="27" t="s">
        <v>291</v>
      </c>
      <c r="AW9" s="27" t="s">
        <v>291</v>
      </c>
      <c r="AX9" s="27" t="s">
        <v>291</v>
      </c>
      <c r="AY9" s="27" t="s">
        <v>291</v>
      </c>
      <c r="AZ9" s="27" t="s">
        <v>292</v>
      </c>
      <c r="BA9" s="27" t="s">
        <v>292</v>
      </c>
      <c r="BB9" s="27" t="s">
        <v>292</v>
      </c>
      <c r="BC9" s="27" t="s">
        <v>293</v>
      </c>
      <c r="BD9" s="27" t="s">
        <v>294</v>
      </c>
      <c r="BE9" s="27" t="s">
        <v>295</v>
      </c>
      <c r="BF9" s="27" t="s">
        <v>295</v>
      </c>
      <c r="BG9" s="27" t="s">
        <v>296</v>
      </c>
      <c r="BH9" s="27" t="s">
        <v>297</v>
      </c>
      <c r="BI9" s="27" t="s">
        <v>298</v>
      </c>
      <c r="BJ9" s="27" t="s">
        <v>299</v>
      </c>
      <c r="BK9" s="27" t="s">
        <v>299</v>
      </c>
      <c r="BL9" s="27" t="s">
        <v>299</v>
      </c>
      <c r="BM9" s="27"/>
      <c r="BN9" s="27" t="s">
        <v>300</v>
      </c>
      <c r="BO9" s="27" t="s">
        <v>301</v>
      </c>
      <c r="BP9" s="27" t="s">
        <v>302</v>
      </c>
      <c r="BQ9" s="27"/>
      <c r="BR9" s="27"/>
      <c r="BS9" s="27"/>
      <c r="BT9" s="27" t="s">
        <v>303</v>
      </c>
      <c r="BU9" s="27" t="s">
        <v>304</v>
      </c>
      <c r="BV9" s="27" t="s">
        <v>305</v>
      </c>
      <c r="BW9" s="27" t="s">
        <v>306</v>
      </c>
      <c r="BX9" s="27" t="s">
        <v>300</v>
      </c>
      <c r="BY9" s="27"/>
      <c r="BZ9" s="27"/>
      <c r="CA9" s="27"/>
      <c r="CB9" s="27"/>
      <c r="CC9" s="27"/>
      <c r="CD9" s="27" t="s">
        <v>307</v>
      </c>
      <c r="CE9" s="27" t="s">
        <v>308</v>
      </c>
      <c r="CF9" s="27" t="s">
        <v>308</v>
      </c>
      <c r="CG9" s="27" t="s">
        <v>308</v>
      </c>
      <c r="CH9" s="27" t="s">
        <v>308</v>
      </c>
      <c r="CI9" s="27" t="s">
        <v>308</v>
      </c>
      <c r="CJ9" s="27" t="s">
        <v>309</v>
      </c>
      <c r="CK9" s="27" t="s">
        <v>308</v>
      </c>
      <c r="CL9" s="27" t="s">
        <v>310</v>
      </c>
      <c r="CM9" s="6"/>
      <c r="CN9" s="27" t="s">
        <v>311</v>
      </c>
      <c r="CO9" s="27" t="s">
        <v>312</v>
      </c>
      <c r="CQ9" s="27" t="s">
        <v>313</v>
      </c>
      <c r="CR9" s="27" t="s">
        <v>314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2022-07-28T06:36:51Z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  <property fmtid="{D5CDD505-2E9C-101B-9397-08002B2CF9AE}" pid="4" name="KSOReadingLayout">
    <vt:bool>true</vt:bool>
  </property>
</Properties>
</file>