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yData\ex_pengzb\Desktop\testExcel\"/>
    </mc:Choice>
  </mc:AlternateContent>
  <bookViews>
    <workbookView xWindow="0" yWindow="0" windowWidth="28800" windowHeight="13050"/>
  </bookViews>
  <sheets>
    <sheet name="宝华店3" sheetId="1" r:id="rId1"/>
  </sheets>
  <externalReferences>
    <externalReference r:id="rId2"/>
    <externalReference r:id="rId3"/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Q77" i="1" l="1"/>
  <c r="O77" i="1"/>
  <c r="N77" i="1"/>
  <c r="M77" i="1"/>
  <c r="K77" i="1"/>
  <c r="I77" i="1"/>
  <c r="G77" i="1"/>
  <c r="E77" i="1"/>
  <c r="C77" i="1"/>
  <c r="AA76" i="1"/>
  <c r="Z76" i="1"/>
  <c r="X76" i="1"/>
  <c r="V76" i="1"/>
  <c r="T76" i="1"/>
  <c r="R76" i="1"/>
  <c r="P76" i="1"/>
  <c r="N76" i="1"/>
  <c r="L76" i="1"/>
  <c r="J76" i="1"/>
  <c r="H76" i="1"/>
  <c r="F76" i="1"/>
  <c r="D76" i="1"/>
  <c r="AA75" i="1"/>
  <c r="Z75" i="1"/>
  <c r="X75" i="1"/>
  <c r="V75" i="1"/>
  <c r="T75" i="1"/>
  <c r="R75" i="1"/>
  <c r="P75" i="1"/>
  <c r="N75" i="1"/>
  <c r="L75" i="1"/>
  <c r="J75" i="1"/>
  <c r="H75" i="1"/>
  <c r="F75" i="1"/>
  <c r="D75" i="1"/>
  <c r="Z74" i="1"/>
  <c r="Y74" i="1"/>
  <c r="W74" i="1"/>
  <c r="W77" i="1" s="1"/>
  <c r="V74" i="1"/>
  <c r="U74" i="1"/>
  <c r="U77" i="1" s="1"/>
  <c r="T74" i="1"/>
  <c r="S74" i="1"/>
  <c r="AA74" i="1" s="1"/>
  <c r="R74" i="1"/>
  <c r="P74" i="1"/>
  <c r="N74" i="1"/>
  <c r="L74" i="1"/>
  <c r="J74" i="1"/>
  <c r="H74" i="1"/>
  <c r="F74" i="1"/>
  <c r="D74" i="1"/>
  <c r="Y73" i="1"/>
  <c r="Z73" i="1" s="1"/>
  <c r="Z77" i="1" s="1"/>
  <c r="X73" i="1"/>
  <c r="V73" i="1"/>
  <c r="V77" i="1" s="1"/>
  <c r="T73" i="1"/>
  <c r="T77" i="1" s="1"/>
  <c r="R73" i="1"/>
  <c r="R77" i="1" s="1"/>
  <c r="P73" i="1"/>
  <c r="P77" i="1" s="1"/>
  <c r="N73" i="1"/>
  <c r="L73" i="1"/>
  <c r="L77" i="1" s="1"/>
  <c r="J73" i="1"/>
  <c r="J77" i="1" s="1"/>
  <c r="H73" i="1"/>
  <c r="H77" i="1" s="1"/>
  <c r="F73" i="1"/>
  <c r="F77" i="1" s="1"/>
  <c r="D73" i="1"/>
  <c r="D77" i="1" s="1"/>
  <c r="O72" i="1"/>
  <c r="AA71" i="1"/>
  <c r="Z71" i="1"/>
  <c r="X71" i="1"/>
  <c r="V71" i="1"/>
  <c r="T71" i="1"/>
  <c r="R71" i="1"/>
  <c r="P71" i="1"/>
  <c r="N71" i="1"/>
  <c r="L71" i="1"/>
  <c r="J71" i="1"/>
  <c r="H71" i="1"/>
  <c r="F71" i="1"/>
  <c r="D71" i="1"/>
  <c r="AA70" i="1"/>
  <c r="Z70" i="1"/>
  <c r="AA69" i="1"/>
  <c r="Z69" i="1"/>
  <c r="AA68" i="1"/>
  <c r="Z68" i="1"/>
  <c r="X68" i="1"/>
  <c r="V68" i="1"/>
  <c r="T68" i="1"/>
  <c r="R68" i="1"/>
  <c r="P68" i="1"/>
  <c r="N68" i="1"/>
  <c r="L68" i="1"/>
  <c r="J68" i="1"/>
  <c r="H68" i="1"/>
  <c r="F68" i="1"/>
  <c r="D68" i="1"/>
  <c r="AA67" i="1"/>
  <c r="Z67" i="1"/>
  <c r="X67" i="1"/>
  <c r="V67" i="1"/>
  <c r="T67" i="1"/>
  <c r="R67" i="1"/>
  <c r="P67" i="1"/>
  <c r="N67" i="1"/>
  <c r="L67" i="1"/>
  <c r="J67" i="1"/>
  <c r="H67" i="1"/>
  <c r="F67" i="1"/>
  <c r="D67" i="1"/>
  <c r="Z66" i="1"/>
  <c r="Y66" i="1"/>
  <c r="W66" i="1"/>
  <c r="X66" i="1" s="1"/>
  <c r="V66" i="1"/>
  <c r="U66" i="1"/>
  <c r="T66" i="1"/>
  <c r="S66" i="1"/>
  <c r="Q66" i="1"/>
  <c r="R66" i="1" s="1"/>
  <c r="R72" i="1" s="1"/>
  <c r="P66" i="1"/>
  <c r="O66" i="1"/>
  <c r="N66" i="1"/>
  <c r="M66" i="1"/>
  <c r="K66" i="1"/>
  <c r="L66" i="1" s="1"/>
  <c r="J66" i="1"/>
  <c r="I66" i="1"/>
  <c r="H66" i="1"/>
  <c r="G66" i="1"/>
  <c r="G72" i="1" s="1"/>
  <c r="E66" i="1"/>
  <c r="F66" i="1" s="1"/>
  <c r="D66" i="1"/>
  <c r="C66" i="1"/>
  <c r="AA66" i="1" s="1"/>
  <c r="Z65" i="1"/>
  <c r="Y65" i="1"/>
  <c r="Y72" i="1" s="1"/>
  <c r="W65" i="1"/>
  <c r="X65" i="1" s="1"/>
  <c r="U65" i="1"/>
  <c r="U72" i="1" s="1"/>
  <c r="T65" i="1"/>
  <c r="S65" i="1"/>
  <c r="S72" i="1" s="1"/>
  <c r="R65" i="1"/>
  <c r="P65" i="1"/>
  <c r="M65" i="1"/>
  <c r="M72" i="1" s="1"/>
  <c r="L65" i="1"/>
  <c r="K65" i="1"/>
  <c r="K72" i="1" s="1"/>
  <c r="I65" i="1"/>
  <c r="I72" i="1" s="1"/>
  <c r="H65" i="1"/>
  <c r="F65" i="1"/>
  <c r="D65" i="1"/>
  <c r="C65" i="1"/>
  <c r="AA64" i="1"/>
  <c r="Z64" i="1"/>
  <c r="X64" i="1"/>
  <c r="V64" i="1"/>
  <c r="T64" i="1"/>
  <c r="R64" i="1"/>
  <c r="P64" i="1"/>
  <c r="N64" i="1"/>
  <c r="L64" i="1"/>
  <c r="J64" i="1"/>
  <c r="H64" i="1"/>
  <c r="F64" i="1"/>
  <c r="D64" i="1"/>
  <c r="AA63" i="1"/>
  <c r="Z63" i="1"/>
  <c r="AA62" i="1"/>
  <c r="Z62" i="1"/>
  <c r="Z61" i="1"/>
  <c r="X61" i="1"/>
  <c r="V61" i="1"/>
  <c r="T61" i="1"/>
  <c r="R61" i="1"/>
  <c r="P61" i="1"/>
  <c r="N61" i="1"/>
  <c r="L61" i="1"/>
  <c r="J61" i="1"/>
  <c r="H61" i="1"/>
  <c r="F61" i="1"/>
  <c r="C61" i="1"/>
  <c r="AA61" i="1" s="1"/>
  <c r="AA60" i="1"/>
  <c r="Z60" i="1"/>
  <c r="Z72" i="1" s="1"/>
  <c r="X60" i="1"/>
  <c r="X72" i="1" s="1"/>
  <c r="V60" i="1"/>
  <c r="V72" i="1" s="1"/>
  <c r="T60" i="1"/>
  <c r="T72" i="1" s="1"/>
  <c r="R60" i="1"/>
  <c r="P60" i="1"/>
  <c r="P72" i="1" s="1"/>
  <c r="N60" i="1"/>
  <c r="L60" i="1"/>
  <c r="J60" i="1"/>
  <c r="H60" i="1"/>
  <c r="H72" i="1" s="1"/>
  <c r="F60" i="1"/>
  <c r="D60" i="1"/>
  <c r="AA58" i="1"/>
  <c r="Z58" i="1"/>
  <c r="X58" i="1"/>
  <c r="U58" i="1"/>
  <c r="V58" i="1" s="1"/>
  <c r="T58" i="1"/>
  <c r="R58" i="1"/>
  <c r="P58" i="1"/>
  <c r="N58" i="1"/>
  <c r="L58" i="1"/>
  <c r="J58" i="1"/>
  <c r="H58" i="1"/>
  <c r="F58" i="1"/>
  <c r="D58" i="1"/>
  <c r="Z57" i="1"/>
  <c r="X57" i="1"/>
  <c r="U57" i="1"/>
  <c r="V57" i="1" s="1"/>
  <c r="T57" i="1"/>
  <c r="R57" i="1"/>
  <c r="P57" i="1"/>
  <c r="N57" i="1"/>
  <c r="L57" i="1"/>
  <c r="J57" i="1"/>
  <c r="I57" i="1"/>
  <c r="H57" i="1"/>
  <c r="E57" i="1"/>
  <c r="E59" i="1" s="1"/>
  <c r="C57" i="1"/>
  <c r="AA57" i="1" s="1"/>
  <c r="Y56" i="1"/>
  <c r="Z56" i="1" s="1"/>
  <c r="X56" i="1"/>
  <c r="W56" i="1"/>
  <c r="V56" i="1"/>
  <c r="U56" i="1"/>
  <c r="S56" i="1"/>
  <c r="T56" i="1" s="1"/>
  <c r="R56" i="1"/>
  <c r="Q56" i="1"/>
  <c r="P56" i="1"/>
  <c r="O56" i="1"/>
  <c r="O59" i="1" s="1"/>
  <c r="M56" i="1"/>
  <c r="N56" i="1" s="1"/>
  <c r="L56" i="1"/>
  <c r="K56" i="1"/>
  <c r="J56" i="1"/>
  <c r="I56" i="1"/>
  <c r="G56" i="1"/>
  <c r="H56" i="1" s="1"/>
  <c r="F56" i="1"/>
  <c r="E56" i="1"/>
  <c r="D56" i="1"/>
  <c r="C56" i="1"/>
  <c r="AA56" i="1" s="1"/>
  <c r="AA55" i="1"/>
  <c r="Z55" i="1"/>
  <c r="X55" i="1"/>
  <c r="V55" i="1"/>
  <c r="T55" i="1"/>
  <c r="R55" i="1"/>
  <c r="P55" i="1"/>
  <c r="N55" i="1"/>
  <c r="L55" i="1"/>
  <c r="J55" i="1"/>
  <c r="H55" i="1"/>
  <c r="F55" i="1"/>
  <c r="D55" i="1"/>
  <c r="Z54" i="1"/>
  <c r="X54" i="1"/>
  <c r="V54" i="1"/>
  <c r="T54" i="1"/>
  <c r="Q54" i="1"/>
  <c r="R54" i="1" s="1"/>
  <c r="P54" i="1"/>
  <c r="N54" i="1"/>
  <c r="L54" i="1"/>
  <c r="J54" i="1"/>
  <c r="I54" i="1"/>
  <c r="I59" i="1" s="1"/>
  <c r="H54" i="1"/>
  <c r="F54" i="1"/>
  <c r="D54" i="1"/>
  <c r="AA53" i="1"/>
  <c r="Z53" i="1"/>
  <c r="X53" i="1"/>
  <c r="V53" i="1"/>
  <c r="T53" i="1"/>
  <c r="R53" i="1"/>
  <c r="P53" i="1"/>
  <c r="P59" i="1" s="1"/>
  <c r="N53" i="1"/>
  <c r="L53" i="1"/>
  <c r="J53" i="1"/>
  <c r="H53" i="1"/>
  <c r="F53" i="1"/>
  <c r="D53" i="1"/>
  <c r="Y52" i="1"/>
  <c r="Z52" i="1" s="1"/>
  <c r="Z59" i="1" s="1"/>
  <c r="X52" i="1"/>
  <c r="X59" i="1" s="1"/>
  <c r="W52" i="1"/>
  <c r="W59" i="1" s="1"/>
  <c r="V52" i="1"/>
  <c r="V59" i="1" s="1"/>
  <c r="U52" i="1"/>
  <c r="U59" i="1" s="1"/>
  <c r="T52" i="1"/>
  <c r="Q52" i="1"/>
  <c r="Q59" i="1" s="1"/>
  <c r="P52" i="1"/>
  <c r="N52" i="1"/>
  <c r="L52" i="1"/>
  <c r="L59" i="1" s="1"/>
  <c r="K52" i="1"/>
  <c r="K59" i="1" s="1"/>
  <c r="J52" i="1"/>
  <c r="J59" i="1" s="1"/>
  <c r="H52" i="1"/>
  <c r="G52" i="1"/>
  <c r="G59" i="1" s="1"/>
  <c r="F52" i="1"/>
  <c r="D52" i="1"/>
  <c r="C52" i="1"/>
  <c r="C59" i="1" s="1"/>
  <c r="X51" i="1"/>
  <c r="R51" i="1"/>
  <c r="N51" i="1"/>
  <c r="M51" i="1"/>
  <c r="K51" i="1"/>
  <c r="I51" i="1"/>
  <c r="H51" i="1"/>
  <c r="G51" i="1"/>
  <c r="F51" i="1"/>
  <c r="E51" i="1"/>
  <c r="C51" i="1"/>
  <c r="Y50" i="1"/>
  <c r="Y51" i="1" s="1"/>
  <c r="X50" i="1"/>
  <c r="W50" i="1"/>
  <c r="W51" i="1" s="1"/>
  <c r="U50" i="1"/>
  <c r="U51" i="1" s="1"/>
  <c r="S50" i="1"/>
  <c r="S51" i="1" s="1"/>
  <c r="R50" i="1"/>
  <c r="Q50" i="1"/>
  <c r="Q51" i="1" s="1"/>
  <c r="O50" i="1"/>
  <c r="O51" i="1" s="1"/>
  <c r="N50" i="1"/>
  <c r="L50" i="1"/>
  <c r="L51" i="1" s="1"/>
  <c r="J50" i="1"/>
  <c r="J51" i="1" s="1"/>
  <c r="H50" i="1"/>
  <c r="F50" i="1"/>
  <c r="D50" i="1"/>
  <c r="D51" i="1" s="1"/>
  <c r="C50" i="1"/>
  <c r="AA49" i="1"/>
  <c r="Z49" i="1"/>
  <c r="AA48" i="1"/>
  <c r="Z48" i="1"/>
  <c r="M47" i="1"/>
  <c r="Z46" i="1"/>
  <c r="Y46" i="1"/>
  <c r="W46" i="1"/>
  <c r="X46" i="1" s="1"/>
  <c r="V46" i="1"/>
  <c r="U46" i="1"/>
  <c r="T46" i="1"/>
  <c r="R46" i="1"/>
  <c r="O46" i="1"/>
  <c r="P46" i="1" s="1"/>
  <c r="N46" i="1"/>
  <c r="L46" i="1"/>
  <c r="J46" i="1"/>
  <c r="I46" i="1"/>
  <c r="AA46" i="1" s="1"/>
  <c r="H46" i="1"/>
  <c r="F46" i="1"/>
  <c r="D46" i="1"/>
  <c r="AA45" i="1"/>
  <c r="Z45" i="1"/>
  <c r="X45" i="1"/>
  <c r="V45" i="1"/>
  <c r="T45" i="1"/>
  <c r="R45" i="1"/>
  <c r="P45" i="1"/>
  <c r="N45" i="1"/>
  <c r="L45" i="1"/>
  <c r="J45" i="1"/>
  <c r="H45" i="1"/>
  <c r="F45" i="1"/>
  <c r="D45" i="1"/>
  <c r="AA44" i="1"/>
  <c r="Z44" i="1"/>
  <c r="X44" i="1"/>
  <c r="V44" i="1"/>
  <c r="T44" i="1"/>
  <c r="R44" i="1"/>
  <c r="P44" i="1"/>
  <c r="O44" i="1"/>
  <c r="N44" i="1"/>
  <c r="L44" i="1"/>
  <c r="J44" i="1"/>
  <c r="I44" i="1"/>
  <c r="H44" i="1"/>
  <c r="F44" i="1"/>
  <c r="D44" i="1"/>
  <c r="AA43" i="1"/>
  <c r="Z43" i="1"/>
  <c r="X43" i="1"/>
  <c r="V43" i="1"/>
  <c r="T43" i="1"/>
  <c r="R43" i="1"/>
  <c r="P43" i="1"/>
  <c r="N43" i="1"/>
  <c r="L43" i="1"/>
  <c r="J43" i="1"/>
  <c r="H43" i="1"/>
  <c r="F43" i="1"/>
  <c r="D43" i="1"/>
  <c r="Y42" i="1"/>
  <c r="Z42" i="1" s="1"/>
  <c r="W42" i="1"/>
  <c r="X42" i="1" s="1"/>
  <c r="U42" i="1"/>
  <c r="V42" i="1" s="1"/>
  <c r="S42" i="1"/>
  <c r="AA42" i="1" s="1"/>
  <c r="R42" i="1"/>
  <c r="O42" i="1"/>
  <c r="P42" i="1" s="1"/>
  <c r="N42" i="1"/>
  <c r="M42" i="1"/>
  <c r="L42" i="1"/>
  <c r="K42" i="1"/>
  <c r="I42" i="1"/>
  <c r="J42" i="1" s="1"/>
  <c r="H42" i="1"/>
  <c r="G42" i="1"/>
  <c r="F42" i="1"/>
  <c r="C42" i="1"/>
  <c r="D42" i="1" s="1"/>
  <c r="Z41" i="1"/>
  <c r="Y41" i="1"/>
  <c r="X41" i="1"/>
  <c r="W41" i="1"/>
  <c r="U41" i="1"/>
  <c r="V41" i="1" s="1"/>
  <c r="T41" i="1"/>
  <c r="S41" i="1"/>
  <c r="R41" i="1"/>
  <c r="P41" i="1"/>
  <c r="N41" i="1"/>
  <c r="L41" i="1"/>
  <c r="J41" i="1"/>
  <c r="I41" i="1"/>
  <c r="H41" i="1"/>
  <c r="G41" i="1"/>
  <c r="F41" i="1"/>
  <c r="C41" i="1"/>
  <c r="AA41" i="1" s="1"/>
  <c r="Z40" i="1"/>
  <c r="Y40" i="1"/>
  <c r="W40" i="1"/>
  <c r="X40" i="1" s="1"/>
  <c r="V40" i="1"/>
  <c r="U40" i="1"/>
  <c r="T40" i="1"/>
  <c r="S40" i="1"/>
  <c r="Q40" i="1"/>
  <c r="R40" i="1" s="1"/>
  <c r="P40" i="1"/>
  <c r="O40" i="1"/>
  <c r="N40" i="1"/>
  <c r="M40" i="1"/>
  <c r="K40" i="1"/>
  <c r="L40" i="1" s="1"/>
  <c r="J40" i="1"/>
  <c r="I40" i="1"/>
  <c r="H40" i="1"/>
  <c r="G40" i="1"/>
  <c r="E40" i="1"/>
  <c r="E47" i="1" s="1"/>
  <c r="D40" i="1"/>
  <c r="C40" i="1"/>
  <c r="AA40" i="1" s="1"/>
  <c r="AA39" i="1"/>
  <c r="Z39" i="1"/>
  <c r="X39" i="1"/>
  <c r="V39" i="1"/>
  <c r="T39" i="1"/>
  <c r="R39" i="1"/>
  <c r="P39" i="1"/>
  <c r="N39" i="1"/>
  <c r="L39" i="1"/>
  <c r="J39" i="1"/>
  <c r="H39" i="1"/>
  <c r="F39" i="1"/>
  <c r="D39" i="1"/>
  <c r="Y38" i="1"/>
  <c r="Z38" i="1" s="1"/>
  <c r="X38" i="1"/>
  <c r="W38" i="1"/>
  <c r="W47" i="1" s="1"/>
  <c r="V38" i="1"/>
  <c r="U38" i="1"/>
  <c r="U47" i="1" s="1"/>
  <c r="S38" i="1"/>
  <c r="T38" i="1" s="1"/>
  <c r="R38" i="1"/>
  <c r="Q38" i="1"/>
  <c r="Q47" i="1" s="1"/>
  <c r="P38" i="1"/>
  <c r="O38" i="1"/>
  <c r="O47" i="1" s="1"/>
  <c r="M38" i="1"/>
  <c r="N38" i="1" s="1"/>
  <c r="L38" i="1"/>
  <c r="K38" i="1"/>
  <c r="K47" i="1" s="1"/>
  <c r="J38" i="1"/>
  <c r="I38" i="1"/>
  <c r="I47" i="1" s="1"/>
  <c r="H38" i="1"/>
  <c r="F38" i="1"/>
  <c r="D38" i="1"/>
  <c r="Z37" i="1"/>
  <c r="X37" i="1"/>
  <c r="V37" i="1"/>
  <c r="T37" i="1"/>
  <c r="R37" i="1"/>
  <c r="P37" i="1"/>
  <c r="N37" i="1"/>
  <c r="M37" i="1"/>
  <c r="L37" i="1"/>
  <c r="J37" i="1"/>
  <c r="G37" i="1"/>
  <c r="G47" i="1" s="1"/>
  <c r="F37" i="1"/>
  <c r="D37" i="1"/>
  <c r="C37" i="1"/>
  <c r="C47" i="1" s="1"/>
  <c r="AA36" i="1"/>
  <c r="Z36" i="1"/>
  <c r="X36" i="1"/>
  <c r="X47" i="1" s="1"/>
  <c r="V36" i="1"/>
  <c r="V47" i="1" s="1"/>
  <c r="T36" i="1"/>
  <c r="R36" i="1"/>
  <c r="P36" i="1"/>
  <c r="P47" i="1" s="1"/>
  <c r="N36" i="1"/>
  <c r="L36" i="1"/>
  <c r="L47" i="1" s="1"/>
  <c r="J36" i="1"/>
  <c r="J47" i="1" s="1"/>
  <c r="H36" i="1"/>
  <c r="F36" i="1"/>
  <c r="D36" i="1"/>
  <c r="AA35" i="1"/>
  <c r="Z35" i="1"/>
  <c r="AA34" i="1"/>
  <c r="Z34" i="1"/>
  <c r="Y33" i="1"/>
  <c r="W33" i="1"/>
  <c r="V33" i="1"/>
  <c r="U33" i="1"/>
  <c r="S33" i="1"/>
  <c r="Q33" i="1"/>
  <c r="M33" i="1"/>
  <c r="K33" i="1"/>
  <c r="I33" i="1"/>
  <c r="G33" i="1"/>
  <c r="E33" i="1"/>
  <c r="C33" i="1"/>
  <c r="Z32" i="1"/>
  <c r="X32" i="1"/>
  <c r="X33" i="1" s="1"/>
  <c r="V32" i="1"/>
  <c r="T32" i="1"/>
  <c r="R32" i="1"/>
  <c r="O32" i="1"/>
  <c r="O33" i="1" s="1"/>
  <c r="N32" i="1"/>
  <c r="L32" i="1"/>
  <c r="L33" i="1" s="1"/>
  <c r="J32" i="1"/>
  <c r="J33" i="1" s="1"/>
  <c r="H32" i="1"/>
  <c r="F32" i="1"/>
  <c r="D32" i="1"/>
  <c r="AA31" i="1"/>
  <c r="Z31" i="1"/>
  <c r="X31" i="1"/>
  <c r="V31" i="1"/>
  <c r="T31" i="1"/>
  <c r="R31" i="1"/>
  <c r="P31" i="1"/>
  <c r="N31" i="1"/>
  <c r="L31" i="1"/>
  <c r="J31" i="1"/>
  <c r="H31" i="1"/>
  <c r="F31" i="1"/>
  <c r="D31" i="1"/>
  <c r="AA30" i="1"/>
  <c r="Z30" i="1"/>
  <c r="Z33" i="1" s="1"/>
  <c r="X30" i="1"/>
  <c r="V30" i="1"/>
  <c r="T30" i="1"/>
  <c r="T33" i="1" s="1"/>
  <c r="R30" i="1"/>
  <c r="R33" i="1" s="1"/>
  <c r="P30" i="1"/>
  <c r="N30" i="1"/>
  <c r="N33" i="1" s="1"/>
  <c r="L30" i="1"/>
  <c r="J30" i="1"/>
  <c r="H30" i="1"/>
  <c r="H33" i="1" s="1"/>
  <c r="F30" i="1"/>
  <c r="F33" i="1" s="1"/>
  <c r="D30" i="1"/>
  <c r="D33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A29" i="1" s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Z29" i="1" s="1"/>
  <c r="Y17" i="1"/>
  <c r="W17" i="1"/>
  <c r="U17" i="1"/>
  <c r="Q17" i="1"/>
  <c r="P17" i="1"/>
  <c r="O17" i="1"/>
  <c r="M17" i="1"/>
  <c r="I17" i="1"/>
  <c r="I79" i="1" s="1"/>
  <c r="J79" i="1" s="1"/>
  <c r="J80" i="1" s="1"/>
  <c r="G17" i="1"/>
  <c r="E17" i="1"/>
  <c r="C17" i="1"/>
  <c r="Z16" i="1"/>
  <c r="X16" i="1"/>
  <c r="V16" i="1"/>
  <c r="S16" i="1"/>
  <c r="S17" i="1" s="1"/>
  <c r="R16" i="1"/>
  <c r="P16" i="1"/>
  <c r="N16" i="1"/>
  <c r="K16" i="1"/>
  <c r="K17" i="1" s="1"/>
  <c r="J16" i="1"/>
  <c r="H16" i="1"/>
  <c r="H17" i="1" s="1"/>
  <c r="F16" i="1"/>
  <c r="D16" i="1"/>
  <c r="Z15" i="1"/>
  <c r="Z17" i="1" s="1"/>
  <c r="X15" i="1"/>
  <c r="X17" i="1" s="1"/>
  <c r="V15" i="1"/>
  <c r="V17" i="1" s="1"/>
  <c r="T15" i="1"/>
  <c r="R15" i="1"/>
  <c r="R17" i="1" s="1"/>
  <c r="P15" i="1"/>
  <c r="N15" i="1"/>
  <c r="N17" i="1" s="1"/>
  <c r="L15" i="1"/>
  <c r="J15" i="1"/>
  <c r="J17" i="1" s="1"/>
  <c r="H15" i="1"/>
  <c r="F15" i="1"/>
  <c r="F17" i="1" s="1"/>
  <c r="C15" i="1"/>
  <c r="AA15" i="1" s="1"/>
  <c r="Z14" i="1"/>
  <c r="Y14" i="1"/>
  <c r="Y78" i="1" s="1"/>
  <c r="W14" i="1"/>
  <c r="W78" i="1" s="1"/>
  <c r="U14" i="1"/>
  <c r="U78" i="1" s="1"/>
  <c r="S14" i="1"/>
  <c r="S78" i="1" s="1"/>
  <c r="Q14" i="1"/>
  <c r="Q78" i="1" s="1"/>
  <c r="O14" i="1"/>
  <c r="O78" i="1" s="1"/>
  <c r="N14" i="1"/>
  <c r="M14" i="1"/>
  <c r="M78" i="1" s="1"/>
  <c r="K14" i="1"/>
  <c r="K78" i="1" s="1"/>
  <c r="I14" i="1"/>
  <c r="I78" i="1" s="1"/>
  <c r="G14" i="1"/>
  <c r="G78" i="1" s="1"/>
  <c r="E14" i="1"/>
  <c r="E78" i="1" s="1"/>
  <c r="C14" i="1"/>
  <c r="AA14" i="1" s="1"/>
  <c r="AA13" i="1"/>
  <c r="Z13" i="1"/>
  <c r="X13" i="1"/>
  <c r="V13" i="1"/>
  <c r="T13" i="1"/>
  <c r="R13" i="1"/>
  <c r="P13" i="1"/>
  <c r="P14" i="1" s="1"/>
  <c r="N13" i="1"/>
  <c r="L13" i="1"/>
  <c r="J13" i="1"/>
  <c r="H13" i="1"/>
  <c r="F13" i="1"/>
  <c r="D13" i="1"/>
  <c r="D14" i="1" s="1"/>
  <c r="AA12" i="1"/>
  <c r="Z12" i="1"/>
  <c r="X12" i="1"/>
  <c r="V12" i="1"/>
  <c r="T12" i="1"/>
  <c r="R12" i="1"/>
  <c r="P12" i="1"/>
  <c r="N12" i="1"/>
  <c r="L12" i="1"/>
  <c r="J12" i="1"/>
  <c r="H12" i="1"/>
  <c r="F12" i="1"/>
  <c r="D12" i="1"/>
  <c r="AA11" i="1"/>
  <c r="Z11" i="1"/>
  <c r="X11" i="1"/>
  <c r="X14" i="1" s="1"/>
  <c r="V11" i="1"/>
  <c r="V14" i="1" s="1"/>
  <c r="T11" i="1"/>
  <c r="T14" i="1" s="1"/>
  <c r="R11" i="1"/>
  <c r="R14" i="1" s="1"/>
  <c r="P11" i="1"/>
  <c r="N11" i="1"/>
  <c r="L11" i="1"/>
  <c r="L14" i="1" s="1"/>
  <c r="J11" i="1"/>
  <c r="J14" i="1" s="1"/>
  <c r="H11" i="1"/>
  <c r="H14" i="1" s="1"/>
  <c r="F11" i="1"/>
  <c r="F14" i="1" s="1"/>
  <c r="D11" i="1"/>
  <c r="C10" i="1"/>
  <c r="AA10" i="1" s="1"/>
  <c r="Y9" i="1"/>
  <c r="W9" i="1"/>
  <c r="U9" i="1"/>
  <c r="S9" i="1"/>
  <c r="Q9" i="1"/>
  <c r="O9" i="1"/>
  <c r="M9" i="1"/>
  <c r="K9" i="1"/>
  <c r="I9" i="1"/>
  <c r="G9" i="1"/>
  <c r="E9" i="1"/>
  <c r="C9" i="1"/>
  <c r="AA9" i="1" s="1"/>
  <c r="AA8" i="1"/>
  <c r="AA7" i="1"/>
  <c r="AA6" i="1"/>
  <c r="AA5" i="1"/>
  <c r="AA4" i="1"/>
  <c r="O79" i="1" l="1"/>
  <c r="P79" i="1" s="1"/>
  <c r="P80" i="1" s="1"/>
  <c r="L72" i="1"/>
  <c r="C79" i="1"/>
  <c r="I80" i="1"/>
  <c r="E79" i="1"/>
  <c r="F79" i="1" s="1"/>
  <c r="F80" i="1" s="1"/>
  <c r="N47" i="1"/>
  <c r="X77" i="1"/>
  <c r="K80" i="1"/>
  <c r="U80" i="1"/>
  <c r="G79" i="1"/>
  <c r="H79" i="1" s="1"/>
  <c r="H80" i="1" s="1"/>
  <c r="U79" i="1"/>
  <c r="V79" i="1" s="1"/>
  <c r="V80" i="1" s="1"/>
  <c r="AA51" i="1"/>
  <c r="R47" i="1"/>
  <c r="N59" i="1"/>
  <c r="F72" i="1"/>
  <c r="K79" i="1"/>
  <c r="L79" i="1" s="1"/>
  <c r="L80" i="1" s="1"/>
  <c r="Y79" i="1"/>
  <c r="Z79" i="1" s="1"/>
  <c r="Z80" i="1" s="1"/>
  <c r="AA33" i="1"/>
  <c r="Z47" i="1"/>
  <c r="T47" i="1"/>
  <c r="H59" i="1"/>
  <c r="T59" i="1"/>
  <c r="AA16" i="1"/>
  <c r="AA38" i="1"/>
  <c r="AA52" i="1"/>
  <c r="M59" i="1"/>
  <c r="AA59" i="1" s="1"/>
  <c r="S59" i="1"/>
  <c r="Y59" i="1"/>
  <c r="E72" i="1"/>
  <c r="Q72" i="1"/>
  <c r="Q79" i="1" s="1"/>
  <c r="W72" i="1"/>
  <c r="W79" i="1" s="1"/>
  <c r="AA73" i="1"/>
  <c r="S77" i="1"/>
  <c r="AA77" i="1" s="1"/>
  <c r="Y77" i="1"/>
  <c r="Y47" i="1"/>
  <c r="AA65" i="1"/>
  <c r="AA37" i="1"/>
  <c r="T42" i="1"/>
  <c r="T50" i="1"/>
  <c r="T51" i="1" s="1"/>
  <c r="Z50" i="1"/>
  <c r="Z51" i="1" s="1"/>
  <c r="D57" i="1"/>
  <c r="D59" i="1" s="1"/>
  <c r="N65" i="1"/>
  <c r="N72" i="1" s="1"/>
  <c r="V65" i="1"/>
  <c r="X74" i="1"/>
  <c r="AA17" i="1"/>
  <c r="S47" i="1"/>
  <c r="S79" i="1" s="1"/>
  <c r="D15" i="1"/>
  <c r="D17" i="1" s="1"/>
  <c r="L16" i="1"/>
  <c r="L17" i="1" s="1"/>
  <c r="H37" i="1"/>
  <c r="H47" i="1" s="1"/>
  <c r="AA50" i="1"/>
  <c r="C78" i="1"/>
  <c r="T16" i="1"/>
  <c r="T17" i="1" s="1"/>
  <c r="P32" i="1"/>
  <c r="P33" i="1" s="1"/>
  <c r="AA32" i="1"/>
  <c r="D41" i="1"/>
  <c r="D47" i="1" s="1"/>
  <c r="P50" i="1"/>
  <c r="P51" i="1" s="1"/>
  <c r="V50" i="1"/>
  <c r="V51" i="1" s="1"/>
  <c r="R52" i="1"/>
  <c r="R59" i="1" s="1"/>
  <c r="AA54" i="1"/>
  <c r="F57" i="1"/>
  <c r="F59" i="1" s="1"/>
  <c r="J65" i="1"/>
  <c r="J72" i="1" s="1"/>
  <c r="C72" i="1"/>
  <c r="F40" i="1"/>
  <c r="F47" i="1" s="1"/>
  <c r="D61" i="1"/>
  <c r="D72" i="1" s="1"/>
  <c r="T79" i="1" l="1"/>
  <c r="T80" i="1" s="1"/>
  <c r="S80" i="1"/>
  <c r="R79" i="1"/>
  <c r="R80" i="1" s="1"/>
  <c r="Q80" i="1"/>
  <c r="X79" i="1"/>
  <c r="X80" i="1" s="1"/>
  <c r="W80" i="1"/>
  <c r="D79" i="1"/>
  <c r="D80" i="1" s="1"/>
  <c r="AA72" i="1"/>
  <c r="M79" i="1"/>
  <c r="G80" i="1"/>
  <c r="C80" i="1"/>
  <c r="AA78" i="1"/>
  <c r="AA47" i="1"/>
  <c r="O80" i="1"/>
  <c r="Y80" i="1"/>
  <c r="E80" i="1"/>
  <c r="N79" i="1" l="1"/>
  <c r="N80" i="1" s="1"/>
  <c r="M80" i="1"/>
  <c r="AA80" i="1" s="1"/>
  <c r="AA79" i="1"/>
</calcChain>
</file>

<file path=xl/sharedStrings.xml><?xml version="1.0" encoding="utf-8"?>
<sst xmlns="http://schemas.openxmlformats.org/spreadsheetml/2006/main" count="116" uniqueCount="100">
  <si>
    <t>2020年金亿餐饮损益表</t>
  </si>
  <si>
    <t>店铺名称：</t>
  </si>
  <si>
    <t>宝华店</t>
  </si>
  <si>
    <t>营业收入</t>
  </si>
  <si>
    <t>项目</t>
  </si>
  <si>
    <t>1月</t>
  </si>
  <si>
    <t>比例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</si>
  <si>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</si>
  <si>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</si>
  <si>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</si>
  <si>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</si>
  <si>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</si>
  <si>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</si>
  <si>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</si>
  <si>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</si>
  <si>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</si>
  <si>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</si>
  <si>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</si>
  <si>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2020年合计</t>
  </si>
  <si>
    <t>预估营业额</t>
  </si>
  <si>
    <t>实际营业额</t>
  </si>
  <si>
    <t>营业天数</t>
  </si>
  <si>
    <t>客单数</t>
  </si>
  <si>
    <t>平均客单价</t>
  </si>
  <si>
    <t>上月环比增长率</t>
  </si>
  <si>
    <t>2019年同比</t>
  </si>
  <si>
    <t>免费试吃赠券（加项）</t>
  </si>
  <si>
    <t>怪兽充电宝</t>
  </si>
  <si>
    <t>其他收入</t>
  </si>
  <si>
    <t>营业收入小计：</t>
  </si>
  <si>
    <t>租金费用</t>
  </si>
  <si>
    <t>店铺租金</t>
  </si>
  <si>
    <t>店铺出租屋税</t>
  </si>
  <si>
    <t>租金费用小计：</t>
  </si>
  <si>
    <t>水电杂费</t>
  </si>
  <si>
    <t>店铺水电杂费</t>
  </si>
  <si>
    <t>店铺加盟费</t>
  </si>
  <si>
    <t>店铺燃气费</t>
  </si>
  <si>
    <t>话费与网络费</t>
  </si>
  <si>
    <t>广告制作费</t>
  </si>
  <si>
    <t>市场推广费</t>
  </si>
  <si>
    <t>大众线上代运营</t>
  </si>
  <si>
    <t>外卖平台代运营</t>
  </si>
  <si>
    <t>二维火系统及维护</t>
  </si>
  <si>
    <t>洗碗机租金</t>
  </si>
  <si>
    <t>其他项</t>
  </si>
  <si>
    <t>水电杂费小计：</t>
  </si>
  <si>
    <t>税金缴纳</t>
  </si>
  <si>
    <t>营业税费</t>
  </si>
  <si>
    <t>会计费</t>
  </si>
  <si>
    <t>税金缴纳小计：</t>
  </si>
  <si>
    <t>员工薪酬福利</t>
  </si>
  <si>
    <t>男/女宿舍租金</t>
  </si>
  <si>
    <t>男/女宿舍水电费</t>
  </si>
  <si>
    <t>男/女宿舍燃气杂费</t>
  </si>
  <si>
    <t>员工工资</t>
  </si>
  <si>
    <t>社保与公积金</t>
  </si>
  <si>
    <t>进修培训费</t>
  </si>
  <si>
    <t>会议奖励</t>
  </si>
  <si>
    <t>节日费、生日费与奖励</t>
  </si>
  <si>
    <t>员工餐费</t>
  </si>
  <si>
    <t>意外医疗</t>
  </si>
  <si>
    <t>劳保消耗</t>
  </si>
  <si>
    <t>车费报销</t>
  </si>
  <si>
    <t>员工薪酬福利小计：</t>
  </si>
  <si>
    <t>提留费用</t>
  </si>
  <si>
    <t>双薪提留金6000</t>
  </si>
  <si>
    <t>公司管理费3%</t>
  </si>
  <si>
    <t>应酬费用1%</t>
  </si>
  <si>
    <t>提留费用小计：</t>
  </si>
  <si>
    <t>店铺杂项</t>
  </si>
  <si>
    <t>南泰易耗品车费</t>
  </si>
  <si>
    <t>保养维修工具费（老总）</t>
  </si>
  <si>
    <t>店铺设备</t>
  </si>
  <si>
    <t>店铺厨具</t>
  </si>
  <si>
    <t>店铺维修、工具费（现金）</t>
  </si>
  <si>
    <t>巡店报销分摊</t>
  </si>
  <si>
    <t>店铺杂项小计：</t>
  </si>
  <si>
    <t>食材原料</t>
  </si>
  <si>
    <t>中央配送（食材）</t>
  </si>
  <si>
    <t>包装汽水</t>
  </si>
  <si>
    <t>大米</t>
  </si>
  <si>
    <t>油</t>
  </si>
  <si>
    <t>澄面</t>
  </si>
  <si>
    <t>蔬菜类</t>
  </si>
  <si>
    <t>自购鱼、肉补货</t>
  </si>
  <si>
    <t>冻货</t>
  </si>
  <si>
    <t>干货</t>
  </si>
  <si>
    <t>饮品原料</t>
  </si>
  <si>
    <t>免费试吃赠券（减项）</t>
  </si>
  <si>
    <t>食材原料小计：</t>
  </si>
  <si>
    <t>物料消耗</t>
  </si>
  <si>
    <t>中央配送（易耗品）</t>
  </si>
  <si>
    <t>中央配送（打包用品）</t>
  </si>
  <si>
    <t>洗消用品</t>
  </si>
  <si>
    <t>物料消耗小计：</t>
  </si>
  <si>
    <t>汇总</t>
  </si>
  <si>
    <t>营业收入合计：</t>
  </si>
  <si>
    <t>支出费用合计：</t>
  </si>
  <si>
    <t>净利润：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</si>
</sst>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 ;[Red]\-0.00\ "/>
  </numFmts>
  <fonts count="8" x14ac:knownFonts="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sz val="13"/>
      <name val="宋体"/>
      <charset val="134"/>
      <scheme val="minor"/>
    </font>
    <font>
      <sz val="20"/>
      <name val="宋体"/>
      <charset val="134"/>
      <scheme val="minor"/>
    </font>
    <font>
      <sz val="13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2" borderId="5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7329;&#20159;&#39184;&#39278;2019&#24180;&#25439;&#30410;&#27719;&#24635;&#34920;-&#20025;-&#26377;&#20013;&#22830;&#21416;&#25151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6700;&#38754;6-6\2020&#24180;&#23487;&#33293;&#12289;&#24215;&#38138;&#31199;&#37329;\2020&#24180;&#24215;&#38138;&#31199;&#37329;&#27700;&#30005;&#26434;&#3615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%2010/Desktop/20&#24180;&#21508;&#24215;&#24037;&#36164;(8)/20&#24180;&#23453;&#21326;&#24037;&#3616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%2010/Desktop/20&#24180;&#21508;&#24215;&#24037;&#36164;(16)/20&#24180;&#23453;&#21326;&#24037;&#361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百福"/>
      <sheetName val="百灵"/>
      <sheetName val="宝华"/>
      <sheetName val="宝业"/>
      <sheetName val="东川"/>
      <sheetName val="建六"/>
      <sheetName val="江南西"/>
      <sheetName val="伟诚"/>
      <sheetName val="中山三"/>
      <sheetName val="北京路"/>
      <sheetName val="华利"/>
      <sheetName val="岗顶D"/>
      <sheetName val="体育B"/>
      <sheetName val="文化公园"/>
      <sheetName val="坑口"/>
      <sheetName val="中央厨房"/>
      <sheetName val="文昌"/>
      <sheetName val="鹭江"/>
      <sheetName val="损益表汇总"/>
    </sheetNames>
    <sheetDataSet>
      <sheetData sheetId="0" refreshError="1"/>
      <sheetData sheetId="1" refreshError="1"/>
      <sheetData sheetId="2" refreshError="1">
        <row r="6">
          <cell r="D6">
            <v>833200.88</v>
          </cell>
          <cell r="Z6">
            <v>586249.17000000004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店铺租赁合同"/>
      <sheetName val="加盟费合同"/>
      <sheetName val="银记加盟费"/>
      <sheetName val="店铺租金"/>
      <sheetName val="店铺水电费"/>
      <sheetName val="洗碗机租金"/>
      <sheetName val="转租、分租"/>
    </sheetNames>
    <sheetDataSet>
      <sheetData sheetId="0" refreshError="1"/>
      <sheetData sheetId="1" refreshError="1"/>
      <sheetData sheetId="2" refreshError="1"/>
      <sheetData sheetId="3" refreshError="1">
        <row r="16">
          <cell r="H16">
            <v>148000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宝华2020汇总"/>
      <sheetName val="1月"/>
      <sheetName val="2月"/>
    </sheetNames>
    <sheetDataSet>
      <sheetData sheetId="0" refreshError="1">
        <row r="11">
          <cell r="F11">
            <v>42609.335384615399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宝华2020汇总"/>
      <sheetName val="1月"/>
      <sheetName val="2月"/>
      <sheetName val="3月"/>
      <sheetName val="4月"/>
      <sheetName val="5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3">
          <cell r="AA23">
            <v>56928.150769230801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3"/>
  <sheetViews>
    <sheetView tabSelected="1" zoomScale="55" zoomScaleNormal="55" workbookViewId="0">
      <pane xSplit="2" ySplit="13" topLeftCell="C38" activePane="bottomRight" state="frozen"/>
      <selection pane="topRight"/>
      <selection pane="bottomLeft"/>
      <selection pane="bottomRight" activeCell="O8" sqref="O8"/>
    </sheetView>
  </sheetViews>
  <sheetFormatPr defaultColWidth="21.75" defaultRowHeight="27.95" customHeight="1" x14ac:dyDescent="0.15"/>
  <cols>
    <col min="1" max="1" width="14.625" style="2" customWidth="1"/>
    <col min="2" max="2" width="28.75" style="2" customWidth="1"/>
    <col min="3" max="3" width="12.875" style="4" customWidth="1"/>
    <col min="4" max="4" width="9.25" style="5" customWidth="1"/>
    <col min="5" max="5" width="14.125" style="4" customWidth="1"/>
    <col min="6" max="6" width="9.25" style="2" customWidth="1"/>
    <col min="7" max="7" width="12.875" style="4" customWidth="1"/>
    <col min="8" max="8" width="9.25" style="2" customWidth="1"/>
    <col min="9" max="9" width="12.875" style="4" customWidth="1"/>
    <col min="10" max="10" width="9.25" style="2" customWidth="1"/>
    <col min="11" max="11" width="12.875" style="4" customWidth="1"/>
    <col min="12" max="12" width="9.25" style="2" customWidth="1"/>
    <col min="13" max="13" width="12.875" style="4" customWidth="1"/>
    <col min="14" max="14" width="9.25" style="2" customWidth="1"/>
    <col min="15" max="15" width="12.875" style="6" customWidth="1"/>
    <col min="16" max="16" width="11.625" style="7" customWidth="1"/>
    <col min="17" max="17" width="12.875" style="6" customWidth="1"/>
    <col min="18" max="18" width="15.375" style="7" customWidth="1"/>
    <col min="19" max="19" width="12.875" style="6" customWidth="1"/>
    <col min="20" max="20" width="14.125" style="7" customWidth="1"/>
    <col min="21" max="21" width="12.875" style="6" customWidth="1"/>
    <col min="22" max="22" width="15.375" style="7" customWidth="1"/>
    <col min="23" max="23" width="12.875" style="6" customWidth="1"/>
    <col min="24" max="24" width="14.125" style="7" customWidth="1"/>
    <col min="25" max="25" width="12.875" style="6" customWidth="1"/>
    <col min="26" max="26" width="14.125" style="7" customWidth="1"/>
    <col min="27" max="27" width="15.375" style="7" customWidth="1"/>
    <col min="28" max="31" width="21.75" style="7" customWidth="1"/>
    <col min="32" max="32" width="21.75" style="2" customWidth="1"/>
    <col min="33" max="16384" width="21.75" style="2"/>
  </cols>
  <sheetData>
    <row r="1" spans="1:31" s="1" customFormat="1" ht="27.95" customHeight="1" x14ac:dyDescent="0.15">
      <c r="A1" s="41" t="s">
        <v>0</v>
      </c>
      <c r="B1" s="41"/>
      <c r="C1" s="42"/>
      <c r="D1" s="43"/>
      <c r="E1" s="42"/>
      <c r="F1" s="41"/>
      <c r="G1" s="42"/>
      <c r="H1" s="41"/>
      <c r="I1" s="42"/>
      <c r="J1" s="41"/>
      <c r="K1" s="42"/>
      <c r="L1" s="41"/>
      <c r="M1" s="42"/>
      <c r="N1" s="41"/>
      <c r="O1" s="44"/>
      <c r="P1" s="45"/>
      <c r="Q1" s="44"/>
      <c r="R1" s="45"/>
      <c r="S1" s="44"/>
      <c r="T1" s="45"/>
      <c r="U1" s="44"/>
      <c r="V1" s="45"/>
      <c r="W1" s="44"/>
      <c r="X1" s="45"/>
      <c r="Y1" s="44"/>
      <c r="Z1" s="45"/>
      <c r="AA1" s="35"/>
      <c r="AB1" s="15"/>
      <c r="AC1" s="15"/>
      <c r="AD1" s="15"/>
      <c r="AE1" s="15"/>
    </row>
    <row r="2" spans="1:31" ht="27.95" customHeight="1" x14ac:dyDescent="0.15">
      <c r="A2" s="8" t="s">
        <v>1</v>
      </c>
      <c r="B2" s="8" t="s">
        <v>2</v>
      </c>
      <c r="C2" s="46"/>
      <c r="D2" s="47"/>
      <c r="E2" s="46"/>
      <c r="F2" s="48"/>
      <c r="G2" s="46"/>
      <c r="H2" s="48"/>
      <c r="I2" s="46"/>
      <c r="J2" s="48"/>
      <c r="K2" s="46"/>
      <c r="L2" s="48"/>
      <c r="M2" s="46"/>
      <c r="N2" s="48"/>
      <c r="O2" s="49"/>
      <c r="P2" s="50"/>
      <c r="Q2" s="49"/>
      <c r="R2" s="50"/>
      <c r="S2" s="49"/>
      <c r="T2" s="50"/>
      <c r="U2" s="49"/>
      <c r="V2" s="50"/>
      <c r="W2" s="49"/>
      <c r="X2" s="50"/>
      <c r="Y2" s="49"/>
      <c r="Z2" s="51"/>
      <c r="AA2" s="36"/>
    </row>
    <row r="3" spans="1:31" ht="27.95" customHeight="1" x14ac:dyDescent="0.15">
      <c r="A3" s="34" t="s">
        <v>3</v>
      </c>
      <c r="B3" s="11" t="s">
        <v>4</v>
      </c>
      <c r="C3" s="12" t="s">
        <v>5</v>
      </c>
      <c r="D3" s="13" t="s">
        <v>6</v>
      </c>
      <c r="E3" s="12" t="s">
        <v>7</v>
      </c>
      <c r="F3" s="11" t="s">
        <v>6</v>
      </c>
      <c r="G3" s="12" t="s">
        <v>8</v>
      </c>
      <c r="H3" s="11" t="s">
        <v>6</v>
      </c>
      <c r="I3" s="12" t="s">
        <v>9</v>
      </c>
      <c r="J3" s="11" t="s">
        <v>6</v>
      </c>
      <c r="K3" s="12" t="s">
        <v>10</v>
      </c>
      <c r="L3" s="11" t="s">
        <v>6</v>
      </c>
      <c r="M3" s="12" t="s">
        <v>11</v>
      </c>
      <c r="N3" s="11" t="s">
        <v>6</v>
      </c>
      <c r="O3" s="18" t="s">
        <v>12</v>
      </c>
      <c r="P3" s="19" t="s">
        <v>6</v>
      </c>
      <c r="Q3" s="18" t="s">
        <v>13</v>
      </c>
      <c r="R3" s="19" t="s">
        <v>6</v>
      </c>
      <c r="S3" s="18" t="s">
        <v>14</v>
      </c>
      <c r="T3" s="19" t="s">
        <v>6</v>
      </c>
      <c r="U3" s="18" t="s">
        <v>15</v>
      </c>
      <c r="V3" s="19" t="s">
        <v>6</v>
      </c>
      <c r="W3" s="18" t="s">
        <v>16</v>
      </c>
      <c r="X3" s="19" t="s">
        <v>6</v>
      </c>
      <c r="Y3" s="18" t="s">
        <v>17</v>
      </c>
      <c r="Z3" s="24" t="s">
        <v>6</v>
      </c>
      <c r="AA3" s="17" t="s">
        <v>18</v>
      </c>
    </row>
    <row r="4" spans="1:31" ht="27.95" customHeight="1" x14ac:dyDescent="0.15">
      <c r="A4" s="34"/>
      <c r="B4" s="11" t="s">
        <v>19</v>
      </c>
      <c r="C4" s="14">
        <v>880000</v>
      </c>
      <c r="D4" s="10">
        <v>0</v>
      </c>
      <c r="E4" s="14">
        <v>600000</v>
      </c>
      <c r="F4" s="10">
        <v>0</v>
      </c>
      <c r="G4" s="14">
        <v>350000</v>
      </c>
      <c r="H4" s="10">
        <v>0</v>
      </c>
      <c r="I4" s="14">
        <v>350000</v>
      </c>
      <c r="J4" s="10">
        <v>0</v>
      </c>
      <c r="K4" s="14">
        <v>350000</v>
      </c>
      <c r="L4" s="10">
        <v>0</v>
      </c>
      <c r="M4" s="14">
        <v>400000</v>
      </c>
      <c r="N4" s="10">
        <v>0</v>
      </c>
      <c r="O4" s="20">
        <v>400000</v>
      </c>
      <c r="P4" s="21">
        <v>0</v>
      </c>
      <c r="Q4" s="20">
        <v>500000</v>
      </c>
      <c r="R4" s="21">
        <v>0</v>
      </c>
      <c r="S4" s="20">
        <v>480000</v>
      </c>
      <c r="T4" s="21">
        <v>0</v>
      </c>
      <c r="U4" s="20">
        <v>550000</v>
      </c>
      <c r="V4" s="21">
        <v>0</v>
      </c>
      <c r="W4" s="20">
        <v>500000</v>
      </c>
      <c r="X4" s="21">
        <v>0</v>
      </c>
      <c r="Y4" s="20">
        <v>500000</v>
      </c>
      <c r="Z4" s="25">
        <v>0</v>
      </c>
      <c r="AA4" s="17">
        <f t="shared" ref="AA4:AA67" si="0">C4+E4+G4+I4+K4+M4+O4+Q4+S4+U4+W4+Y4</f>
        <v>5860000</v>
      </c>
    </row>
    <row r="5" spans="1:31" ht="27.95" customHeight="1" x14ac:dyDescent="0.15">
      <c r="A5" s="34"/>
      <c r="B5" s="11" t="s">
        <v>20</v>
      </c>
      <c r="C5" s="14">
        <v>549197.6</v>
      </c>
      <c r="D5" s="10">
        <v>1</v>
      </c>
      <c r="E5" s="14">
        <v>166367.89000000001</v>
      </c>
      <c r="F5" s="10">
        <v>1</v>
      </c>
      <c r="G5" s="14">
        <v>214063.52</v>
      </c>
      <c r="H5" s="10">
        <v>1</v>
      </c>
      <c r="I5" s="14">
        <v>197745.1</v>
      </c>
      <c r="J5" s="10">
        <v>1</v>
      </c>
      <c r="K5" s="14">
        <v>256932.49</v>
      </c>
      <c r="L5" s="10">
        <v>1</v>
      </c>
      <c r="M5" s="14">
        <v>299537</v>
      </c>
      <c r="N5" s="10">
        <v>1</v>
      </c>
      <c r="O5" s="20">
        <v>445431.87</v>
      </c>
      <c r="P5" s="21">
        <v>1</v>
      </c>
      <c r="Q5" s="20">
        <v>486795.01</v>
      </c>
      <c r="R5" s="21">
        <v>1</v>
      </c>
      <c r="S5" s="20">
        <v>419128.44</v>
      </c>
      <c r="T5" s="21">
        <v>1</v>
      </c>
      <c r="U5" s="20"/>
      <c r="V5" s="21">
        <v>1</v>
      </c>
      <c r="W5" s="20">
        <v>407629.35</v>
      </c>
      <c r="X5" s="21">
        <v>1</v>
      </c>
      <c r="Y5" s="20">
        <v>427716.8</v>
      </c>
      <c r="Z5" s="25">
        <v>1</v>
      </c>
      <c r="AA5" s="17">
        <f t="shared" si="0"/>
        <v>3870545.0700000003</v>
      </c>
    </row>
    <row r="6" spans="1:31" ht="27.95" customHeight="1" x14ac:dyDescent="0.15">
      <c r="A6" s="34"/>
      <c r="B6" s="11" t="s">
        <v>21</v>
      </c>
      <c r="C6" s="14">
        <v>31</v>
      </c>
      <c r="D6" s="10"/>
      <c r="E6" s="14">
        <v>29</v>
      </c>
      <c r="F6" s="10"/>
      <c r="G6" s="14">
        <v>31</v>
      </c>
      <c r="H6" s="10"/>
      <c r="I6" s="14">
        <v>30</v>
      </c>
      <c r="J6" s="10"/>
      <c r="K6" s="14">
        <v>31</v>
      </c>
      <c r="L6" s="10"/>
      <c r="M6" s="14">
        <v>30</v>
      </c>
      <c r="N6" s="10"/>
      <c r="O6" s="20">
        <v>31</v>
      </c>
      <c r="P6" s="21"/>
      <c r="Q6" s="20">
        <v>31</v>
      </c>
      <c r="R6" s="21"/>
      <c r="S6" s="20">
        <v>30</v>
      </c>
      <c r="T6" s="21"/>
      <c r="U6" s="20">
        <v>31</v>
      </c>
      <c r="V6" s="21"/>
      <c r="W6" s="20">
        <v>30</v>
      </c>
      <c r="X6" s="21"/>
      <c r="Y6" s="20">
        <v>31</v>
      </c>
      <c r="Z6" s="25"/>
      <c r="AA6" s="17">
        <f t="shared" si="0"/>
        <v>366</v>
      </c>
    </row>
    <row r="7" spans="1:31" ht="27.95" customHeight="1" x14ac:dyDescent="0.15">
      <c r="A7" s="34"/>
      <c r="B7" s="11" t="s">
        <v>22</v>
      </c>
      <c r="C7" s="14">
        <v>18785.599999999999</v>
      </c>
      <c r="D7" s="10"/>
      <c r="E7" s="14">
        <v>5381</v>
      </c>
      <c r="F7" s="10"/>
      <c r="G7" s="14">
        <v>7671</v>
      </c>
      <c r="H7" s="10"/>
      <c r="I7" s="14">
        <v>8677</v>
      </c>
      <c r="J7" s="10"/>
      <c r="K7" s="14">
        <v>11210</v>
      </c>
      <c r="L7" s="10"/>
      <c r="M7" s="14">
        <v>13226</v>
      </c>
      <c r="N7" s="10"/>
      <c r="O7" s="20">
        <v>22152</v>
      </c>
      <c r="P7" s="21"/>
      <c r="Q7" s="20">
        <v>19291</v>
      </c>
      <c r="R7" s="21"/>
      <c r="S7" s="20"/>
      <c r="T7" s="21"/>
      <c r="U7" s="20">
        <v>18183</v>
      </c>
      <c r="V7" s="21"/>
      <c r="W7" s="20">
        <v>17584</v>
      </c>
      <c r="X7" s="21"/>
      <c r="Y7" s="20">
        <v>18068</v>
      </c>
      <c r="Z7" s="25"/>
      <c r="AA7" s="17">
        <f t="shared" si="0"/>
        <v>160228.6</v>
      </c>
    </row>
    <row r="8" spans="1:31" ht="27.95" customHeight="1" x14ac:dyDescent="0.15">
      <c r="A8" s="34"/>
      <c r="B8" s="11" t="s">
        <v>23</v>
      </c>
      <c r="C8" s="14">
        <v>25.959599999999998</v>
      </c>
      <c r="D8" s="10"/>
      <c r="E8" s="14">
        <v>22.12</v>
      </c>
      <c r="F8" s="10"/>
      <c r="G8" s="14">
        <v>20.97</v>
      </c>
      <c r="H8" s="10"/>
      <c r="I8" s="14">
        <v>17.613</v>
      </c>
      <c r="J8" s="10"/>
      <c r="K8" s="14">
        <v>17.37</v>
      </c>
      <c r="L8" s="10"/>
      <c r="M8" s="14">
        <v>15.8965</v>
      </c>
      <c r="N8" s="10"/>
      <c r="O8" s="20">
        <v>15.382199999999999</v>
      </c>
      <c r="P8" s="21"/>
      <c r="Q8" s="20">
        <v>19.575900000000001</v>
      </c>
      <c r="R8" s="21"/>
      <c r="S8" s="20">
        <v>16.170587000000001</v>
      </c>
      <c r="T8" s="21"/>
      <c r="U8" s="20">
        <v>19.99672</v>
      </c>
      <c r="V8" s="21"/>
      <c r="W8" s="20">
        <v>16.55</v>
      </c>
      <c r="X8" s="21"/>
      <c r="Y8" s="20">
        <v>17.07</v>
      </c>
      <c r="Z8" s="25"/>
      <c r="AA8" s="17">
        <f t="shared" si="0"/>
        <v>224.67450700000003</v>
      </c>
    </row>
    <row r="9" spans="1:31" ht="27.95" customHeight="1" x14ac:dyDescent="0.15">
      <c r="A9" s="34"/>
      <c r="B9" s="11" t="s">
        <v>24</v>
      </c>
      <c r="C9" s="14">
        <f>[1]宝华!$Z$6</f>
        <v>586249.17000000004</v>
      </c>
      <c r="D9" s="10"/>
      <c r="E9" s="14">
        <f t="shared" ref="E9:I9" si="1">C5</f>
        <v>549197.6</v>
      </c>
      <c r="F9" s="10"/>
      <c r="G9" s="14">
        <f t="shared" si="1"/>
        <v>166367.89000000001</v>
      </c>
      <c r="H9" s="10"/>
      <c r="I9" s="14">
        <f t="shared" si="1"/>
        <v>214063.52</v>
      </c>
      <c r="J9" s="10"/>
      <c r="K9" s="14">
        <f t="shared" ref="K9:O9" si="2">I5</f>
        <v>197745.1</v>
      </c>
      <c r="L9" s="10"/>
      <c r="M9" s="14">
        <f t="shared" si="2"/>
        <v>256932.49</v>
      </c>
      <c r="N9" s="10"/>
      <c r="O9" s="20">
        <f t="shared" si="2"/>
        <v>299537</v>
      </c>
      <c r="P9" s="21"/>
      <c r="Q9" s="20">
        <f t="shared" ref="Q9:U9" si="3">O5</f>
        <v>445431.87</v>
      </c>
      <c r="R9" s="21"/>
      <c r="S9" s="20">
        <f t="shared" si="3"/>
        <v>486795.01</v>
      </c>
      <c r="T9" s="21"/>
      <c r="U9" s="20">
        <f t="shared" si="3"/>
        <v>419128.44</v>
      </c>
      <c r="V9" s="21"/>
      <c r="W9" s="20">
        <f>U5</f>
        <v>0</v>
      </c>
      <c r="X9" s="21"/>
      <c r="Y9" s="20">
        <f>W5</f>
        <v>407629.35</v>
      </c>
      <c r="Z9" s="25"/>
      <c r="AA9" s="17">
        <f t="shared" si="0"/>
        <v>4029077.4400000004</v>
      </c>
    </row>
    <row r="10" spans="1:31" ht="27.95" customHeight="1" x14ac:dyDescent="0.15">
      <c r="A10" s="34"/>
      <c r="B10" s="11" t="s">
        <v>25</v>
      </c>
      <c r="C10" s="14">
        <f>[1]宝华!$D$6</f>
        <v>833200.88</v>
      </c>
      <c r="D10" s="10"/>
      <c r="E10" s="14">
        <v>996440.1</v>
      </c>
      <c r="F10" s="10"/>
      <c r="G10" s="14">
        <v>746829.31</v>
      </c>
      <c r="H10" s="10"/>
      <c r="I10" s="14">
        <v>8155.29</v>
      </c>
      <c r="J10" s="10"/>
      <c r="K10" s="14">
        <v>564071.9</v>
      </c>
      <c r="L10" s="10"/>
      <c r="M10" s="14">
        <v>509234.77</v>
      </c>
      <c r="N10" s="10"/>
      <c r="O10" s="20">
        <v>628967.89</v>
      </c>
      <c r="P10" s="21"/>
      <c r="Q10" s="20">
        <v>661683.27</v>
      </c>
      <c r="R10" s="21"/>
      <c r="S10" s="20">
        <v>503728.75</v>
      </c>
      <c r="T10" s="21"/>
      <c r="U10" s="20">
        <v>632954.47</v>
      </c>
      <c r="V10" s="21"/>
      <c r="W10" s="20">
        <v>564559.37</v>
      </c>
      <c r="X10" s="21"/>
      <c r="Y10" s="20">
        <v>586249.17000000004</v>
      </c>
      <c r="Z10" s="25"/>
      <c r="AA10" s="17">
        <f t="shared" si="0"/>
        <v>7236075.1699999999</v>
      </c>
    </row>
    <row r="11" spans="1:31" ht="27.95" customHeight="1" x14ac:dyDescent="0.15">
      <c r="A11" s="34"/>
      <c r="B11" s="11" t="s">
        <v>26</v>
      </c>
      <c r="C11" s="14">
        <v>2364</v>
      </c>
      <c r="D11" s="10">
        <f t="shared" ref="D11:H11" si="4">C11/C5</f>
        <v>4.3044616363946235E-3</v>
      </c>
      <c r="E11" s="14">
        <v>853</v>
      </c>
      <c r="F11" s="10">
        <f t="shared" si="4"/>
        <v>5.1271913107751735E-3</v>
      </c>
      <c r="G11" s="14">
        <v>3267</v>
      </c>
      <c r="H11" s="10">
        <f t="shared" si="4"/>
        <v>1.5261825088179434E-2</v>
      </c>
      <c r="I11" s="14">
        <v>6350.8</v>
      </c>
      <c r="J11" s="10">
        <f t="shared" ref="J11:N11" si="5">I11/I5</f>
        <v>3.211609288928019E-2</v>
      </c>
      <c r="K11" s="14">
        <v>9358</v>
      </c>
      <c r="L11" s="10">
        <f t="shared" si="5"/>
        <v>3.6422018873518099E-2</v>
      </c>
      <c r="M11" s="14">
        <v>11836.8</v>
      </c>
      <c r="N11" s="10">
        <f t="shared" si="5"/>
        <v>3.9516987884635285E-2</v>
      </c>
      <c r="O11" s="20">
        <v>8872.2000000000007</v>
      </c>
      <c r="P11" s="21">
        <f t="shared" ref="P11:T11" si="6">O11/O5</f>
        <v>1.991819759102554E-2</v>
      </c>
      <c r="Q11" s="20">
        <v>17181.64</v>
      </c>
      <c r="R11" s="21">
        <f t="shared" si="6"/>
        <v>3.5295431643804234E-2</v>
      </c>
      <c r="S11" s="20">
        <v>18021.7</v>
      </c>
      <c r="T11" s="21">
        <f t="shared" si="6"/>
        <v>4.2998036592315235E-2</v>
      </c>
      <c r="U11" s="20">
        <v>22382.799999999999</v>
      </c>
      <c r="V11" s="21" t="e">
        <f t="shared" ref="V11:Z11" si="7">U11/U5</f>
        <v>#DIV/0!</v>
      </c>
      <c r="W11" s="20">
        <v>24926.400000000001</v>
      </c>
      <c r="X11" s="21">
        <f t="shared" si="7"/>
        <v>6.1149669423950954E-2</v>
      </c>
      <c r="Y11" s="20">
        <v>25085.3</v>
      </c>
      <c r="Z11" s="25">
        <f t="shared" si="7"/>
        <v>5.8649321233114997E-2</v>
      </c>
      <c r="AA11" s="17">
        <f t="shared" si="0"/>
        <v>150499.63999999998</v>
      </c>
    </row>
    <row r="12" spans="1:31" ht="27.95" customHeight="1" x14ac:dyDescent="0.15">
      <c r="A12" s="34"/>
      <c r="B12" s="11" t="s">
        <v>27</v>
      </c>
      <c r="C12" s="14">
        <v>449.75</v>
      </c>
      <c r="D12" s="10">
        <f t="shared" ref="D12:H12" si="8">C12/C5</f>
        <v>8.1892200548582157E-4</v>
      </c>
      <c r="E12" s="14">
        <v>356</v>
      </c>
      <c r="F12" s="10">
        <f t="shared" si="8"/>
        <v>2.1398359984008933E-3</v>
      </c>
      <c r="G12" s="14">
        <v>64.5</v>
      </c>
      <c r="H12" s="10">
        <f t="shared" si="8"/>
        <v>3.0131243287039288E-4</v>
      </c>
      <c r="I12" s="14">
        <v>115.5</v>
      </c>
      <c r="J12" s="10">
        <f t="shared" ref="J12:N12" si="9">I12/I5</f>
        <v>5.8408526936950644E-4</v>
      </c>
      <c r="K12" s="14">
        <v>99.75</v>
      </c>
      <c r="L12" s="10">
        <f t="shared" si="9"/>
        <v>3.8823427897343777E-4</v>
      </c>
      <c r="M12" s="14">
        <v>153</v>
      </c>
      <c r="N12" s="10">
        <f t="shared" si="9"/>
        <v>5.1078831663534054E-4</v>
      </c>
      <c r="O12" s="20">
        <v>139.25</v>
      </c>
      <c r="P12" s="21">
        <f t="shared" ref="P12:T12" si="10">O12/O5</f>
        <v>3.1261795434619442E-4</v>
      </c>
      <c r="Q12" s="20">
        <v>240</v>
      </c>
      <c r="R12" s="21">
        <f t="shared" si="10"/>
        <v>4.9302066592671106E-4</v>
      </c>
      <c r="S12" s="20">
        <v>1176</v>
      </c>
      <c r="T12" s="21">
        <f t="shared" si="10"/>
        <v>2.8058224824829355E-3</v>
      </c>
      <c r="U12" s="20">
        <v>1292</v>
      </c>
      <c r="V12" s="21" t="e">
        <f t="shared" ref="V12:Z12" si="11">U12/U5</f>
        <v>#DIV/0!</v>
      </c>
      <c r="W12" s="20">
        <v>923.5</v>
      </c>
      <c r="X12" s="21">
        <f t="shared" si="11"/>
        <v>2.2655385339647406E-3</v>
      </c>
      <c r="Y12" s="20">
        <v>620</v>
      </c>
      <c r="Z12" s="25">
        <f t="shared" si="11"/>
        <v>1.4495572771516107E-3</v>
      </c>
      <c r="AA12" s="17">
        <f t="shared" si="0"/>
        <v>5629.25</v>
      </c>
    </row>
    <row r="13" spans="1:31" ht="27.95" customHeight="1" x14ac:dyDescent="0.15">
      <c r="A13" s="34"/>
      <c r="B13" s="11" t="s">
        <v>28</v>
      </c>
      <c r="C13" s="9"/>
      <c r="D13" s="10">
        <f t="shared" ref="D13:H13" si="12">C13/C5</f>
        <v>0</v>
      </c>
      <c r="E13" s="9"/>
      <c r="F13" s="10">
        <f t="shared" si="12"/>
        <v>0</v>
      </c>
      <c r="G13" s="9"/>
      <c r="H13" s="10">
        <f t="shared" si="12"/>
        <v>0</v>
      </c>
      <c r="I13" s="9"/>
      <c r="J13" s="10">
        <f t="shared" ref="J13:N13" si="13">I13/I5</f>
        <v>0</v>
      </c>
      <c r="K13" s="9"/>
      <c r="L13" s="10">
        <f t="shared" si="13"/>
        <v>0</v>
      </c>
      <c r="M13" s="9"/>
      <c r="N13" s="10">
        <f t="shared" si="13"/>
        <v>0</v>
      </c>
      <c r="O13" s="16"/>
      <c r="P13" s="21">
        <f t="shared" ref="P13:T13" si="14">O13/O5</f>
        <v>0</v>
      </c>
      <c r="Q13" s="16"/>
      <c r="R13" s="21">
        <f t="shared" si="14"/>
        <v>0</v>
      </c>
      <c r="S13" s="16"/>
      <c r="T13" s="21">
        <f t="shared" si="14"/>
        <v>0</v>
      </c>
      <c r="U13" s="16"/>
      <c r="V13" s="21" t="e">
        <f t="shared" ref="V13:Z13" si="15">U13/U5</f>
        <v>#DIV/0!</v>
      </c>
      <c r="W13" s="16"/>
      <c r="X13" s="21">
        <f t="shared" si="15"/>
        <v>0</v>
      </c>
      <c r="Y13" s="16"/>
      <c r="Z13" s="25">
        <f t="shared" si="15"/>
        <v>0</v>
      </c>
      <c r="AA13" s="17">
        <f t="shared" si="0"/>
        <v>0</v>
      </c>
    </row>
    <row r="14" spans="1:31" ht="27.95" customHeight="1" x14ac:dyDescent="0.15">
      <c r="A14" s="37" t="s">
        <v>29</v>
      </c>
      <c r="B14" s="37"/>
      <c r="C14" s="12">
        <f t="shared" ref="C14:Z14" si="16">C5+C11+C12+C13</f>
        <v>552011.35</v>
      </c>
      <c r="D14" s="13">
        <f t="shared" si="16"/>
        <v>1.0051233836418803</v>
      </c>
      <c r="E14" s="12">
        <f t="shared" si="16"/>
        <v>167576.89000000001</v>
      </c>
      <c r="F14" s="13">
        <f t="shared" si="16"/>
        <v>1.0072670273091759</v>
      </c>
      <c r="G14" s="12">
        <f t="shared" si="16"/>
        <v>217395.02</v>
      </c>
      <c r="H14" s="13">
        <f t="shared" si="16"/>
        <v>1.0155631375210499</v>
      </c>
      <c r="I14" s="12">
        <f t="shared" si="16"/>
        <v>204211.4</v>
      </c>
      <c r="J14" s="13">
        <f t="shared" si="16"/>
        <v>1.0327001781586496</v>
      </c>
      <c r="K14" s="12">
        <f t="shared" si="16"/>
        <v>266390.24</v>
      </c>
      <c r="L14" s="13">
        <f t="shared" si="16"/>
        <v>1.0368102531524914</v>
      </c>
      <c r="M14" s="12">
        <f t="shared" si="16"/>
        <v>311526.8</v>
      </c>
      <c r="N14" s="13">
        <f t="shared" si="16"/>
        <v>1.0400277762012706</v>
      </c>
      <c r="O14" s="18">
        <f t="shared" si="16"/>
        <v>454443.32</v>
      </c>
      <c r="P14" s="22">
        <f t="shared" si="16"/>
        <v>1.0202308155453719</v>
      </c>
      <c r="Q14" s="18">
        <f t="shared" si="16"/>
        <v>504216.65</v>
      </c>
      <c r="R14" s="22">
        <f t="shared" si="16"/>
        <v>1.0357884523097309</v>
      </c>
      <c r="S14" s="18">
        <f t="shared" si="16"/>
        <v>438326.14</v>
      </c>
      <c r="T14" s="22">
        <f t="shared" si="16"/>
        <v>1.0458038590747982</v>
      </c>
      <c r="U14" s="18">
        <f t="shared" si="16"/>
        <v>23674.799999999999</v>
      </c>
      <c r="V14" s="22" t="e">
        <f t="shared" si="16"/>
        <v>#DIV/0!</v>
      </c>
      <c r="W14" s="18">
        <f t="shared" si="16"/>
        <v>433479.25</v>
      </c>
      <c r="X14" s="22">
        <f t="shared" si="16"/>
        <v>1.0634152079579158</v>
      </c>
      <c r="Y14" s="18">
        <f t="shared" si="16"/>
        <v>453422.1</v>
      </c>
      <c r="Z14" s="26">
        <f t="shared" si="16"/>
        <v>1.0600988785102665</v>
      </c>
      <c r="AA14" s="17">
        <f t="shared" si="0"/>
        <v>4026673.96</v>
      </c>
    </row>
    <row r="15" spans="1:31" ht="27.95" customHeight="1" x14ac:dyDescent="0.15">
      <c r="A15" s="38" t="s">
        <v>30</v>
      </c>
      <c r="B15" s="11" t="s">
        <v>31</v>
      </c>
      <c r="C15" s="14">
        <f>[2]店铺租金!$H$16</f>
        <v>148000</v>
      </c>
      <c r="D15" s="10">
        <f t="shared" ref="D15:H15" si="17">C15/C5</f>
        <v>0.26948406183858054</v>
      </c>
      <c r="E15" s="14">
        <v>148000</v>
      </c>
      <c r="F15" s="10">
        <f t="shared" si="17"/>
        <v>0.88959474090823654</v>
      </c>
      <c r="G15" s="14">
        <v>0</v>
      </c>
      <c r="H15" s="10">
        <f t="shared" si="17"/>
        <v>0</v>
      </c>
      <c r="I15" s="14">
        <v>148000</v>
      </c>
      <c r="J15" s="10">
        <f t="shared" ref="J15:N15" si="18">I15/I5</f>
        <v>0.74843826724404294</v>
      </c>
      <c r="K15" s="14">
        <v>118400</v>
      </c>
      <c r="L15" s="10">
        <f t="shared" si="18"/>
        <v>0.46082143990431107</v>
      </c>
      <c r="M15" s="14">
        <v>133200</v>
      </c>
      <c r="N15" s="10">
        <f t="shared" si="18"/>
        <v>0.44468629918841412</v>
      </c>
      <c r="O15" s="20">
        <v>140600</v>
      </c>
      <c r="P15" s="21">
        <f t="shared" ref="P15:T15" si="19">O15/O5</f>
        <v>0.31564872086947887</v>
      </c>
      <c r="Q15" s="20">
        <v>148000</v>
      </c>
      <c r="R15" s="21">
        <f t="shared" si="19"/>
        <v>0.30402941065480521</v>
      </c>
      <c r="S15" s="20">
        <v>148000</v>
      </c>
      <c r="T15" s="21">
        <f t="shared" si="19"/>
        <v>0.35311371378186601</v>
      </c>
      <c r="U15" s="20">
        <v>148000</v>
      </c>
      <c r="V15" s="21" t="e">
        <f t="shared" ref="V15:Z15" si="20">U15/U5</f>
        <v>#DIV/0!</v>
      </c>
      <c r="W15" s="20">
        <v>148000</v>
      </c>
      <c r="X15" s="21">
        <f t="shared" si="20"/>
        <v>0.3630749356001966</v>
      </c>
      <c r="Y15" s="20">
        <v>148000</v>
      </c>
      <c r="Z15" s="25">
        <f t="shared" si="20"/>
        <v>0.34602335002973933</v>
      </c>
      <c r="AA15" s="17">
        <f t="shared" si="0"/>
        <v>1576200</v>
      </c>
    </row>
    <row r="16" spans="1:31" ht="27.95" customHeight="1" x14ac:dyDescent="0.15">
      <c r="A16" s="39"/>
      <c r="B16" s="11" t="s">
        <v>32</v>
      </c>
      <c r="C16" s="14">
        <v>3997.4</v>
      </c>
      <c r="D16" s="10">
        <f t="shared" ref="D16:H16" si="21">C16/C5</f>
        <v>7.2786188431996062E-3</v>
      </c>
      <c r="E16" s="14">
        <v>3997.4</v>
      </c>
      <c r="F16" s="10">
        <f t="shared" si="21"/>
        <v>2.4027473089909355E-2</v>
      </c>
      <c r="G16" s="14">
        <v>0</v>
      </c>
      <c r="H16" s="10">
        <f t="shared" si="21"/>
        <v>0</v>
      </c>
      <c r="I16" s="14">
        <v>0</v>
      </c>
      <c r="J16" s="10">
        <f t="shared" ref="J16:N16" si="22">I16/I5</f>
        <v>0</v>
      </c>
      <c r="K16" s="14">
        <f>858.43+1428.57</f>
        <v>2287</v>
      </c>
      <c r="L16" s="10">
        <f t="shared" si="22"/>
        <v>8.9011708873408726E-3</v>
      </c>
      <c r="M16" s="14">
        <v>3202.12</v>
      </c>
      <c r="N16" s="10">
        <f t="shared" si="22"/>
        <v>1.0690231924603638E-2</v>
      </c>
      <c r="O16" s="20">
        <v>3997.4</v>
      </c>
      <c r="P16" s="21">
        <f t="shared" ref="P16:T16" si="23">O16/O5</f>
        <v>8.9742119260572892E-3</v>
      </c>
      <c r="Q16" s="20">
        <v>3997.4</v>
      </c>
      <c r="R16" s="21">
        <f t="shared" si="23"/>
        <v>8.2116700415643135E-3</v>
      </c>
      <c r="S16" s="20">
        <f>Q16</f>
        <v>3997.4</v>
      </c>
      <c r="T16" s="21">
        <f t="shared" si="23"/>
        <v>9.5374105369704816E-3</v>
      </c>
      <c r="U16" s="20">
        <v>3997.36</v>
      </c>
      <c r="V16" s="21" t="e">
        <f t="shared" ref="V16:Z16" si="24">U16/U5</f>
        <v>#DIV/0!</v>
      </c>
      <c r="W16" s="20">
        <v>3997.36</v>
      </c>
      <c r="X16" s="21">
        <f t="shared" si="24"/>
        <v>9.8063596254783919E-3</v>
      </c>
      <c r="Y16" s="20">
        <v>3997.36</v>
      </c>
      <c r="Z16" s="25">
        <f t="shared" si="24"/>
        <v>9.345810124830262E-3</v>
      </c>
      <c r="AA16" s="17">
        <f t="shared" si="0"/>
        <v>37468.200000000004</v>
      </c>
    </row>
    <row r="17" spans="1:27" ht="27.95" customHeight="1" x14ac:dyDescent="0.15">
      <c r="A17" s="37" t="s">
        <v>33</v>
      </c>
      <c r="B17" s="37"/>
      <c r="C17" s="12">
        <f t="shared" ref="C17:Z17" si="25">SUM(C15:C16)</f>
        <v>151997.4</v>
      </c>
      <c r="D17" s="13">
        <f t="shared" si="25"/>
        <v>0.27676268068178012</v>
      </c>
      <c r="E17" s="12">
        <f t="shared" si="25"/>
        <v>151997.4</v>
      </c>
      <c r="F17" s="13">
        <f t="shared" si="25"/>
        <v>0.91362221399814592</v>
      </c>
      <c r="G17" s="12">
        <f t="shared" si="25"/>
        <v>0</v>
      </c>
      <c r="H17" s="13">
        <f t="shared" si="25"/>
        <v>0</v>
      </c>
      <c r="I17" s="12">
        <f t="shared" si="25"/>
        <v>148000</v>
      </c>
      <c r="J17" s="13">
        <f t="shared" si="25"/>
        <v>0.74843826724404294</v>
      </c>
      <c r="K17" s="12">
        <f t="shared" si="25"/>
        <v>120687</v>
      </c>
      <c r="L17" s="13">
        <f t="shared" si="25"/>
        <v>0.46972261079165195</v>
      </c>
      <c r="M17" s="12">
        <f t="shared" si="25"/>
        <v>136402.12</v>
      </c>
      <c r="N17" s="13">
        <f t="shared" si="25"/>
        <v>0.45537653111301779</v>
      </c>
      <c r="O17" s="18">
        <f t="shared" si="25"/>
        <v>144597.4</v>
      </c>
      <c r="P17" s="22">
        <f t="shared" si="25"/>
        <v>0.32462293279553617</v>
      </c>
      <c r="Q17" s="18">
        <f t="shared" si="25"/>
        <v>151997.4</v>
      </c>
      <c r="R17" s="22">
        <f t="shared" si="25"/>
        <v>0.31224108069636952</v>
      </c>
      <c r="S17" s="18">
        <f t="shared" si="25"/>
        <v>151997.4</v>
      </c>
      <c r="T17" s="22">
        <f t="shared" si="25"/>
        <v>0.3626511243188365</v>
      </c>
      <c r="U17" s="18">
        <f t="shared" si="25"/>
        <v>151997.35999999999</v>
      </c>
      <c r="V17" s="22" t="e">
        <f t="shared" si="25"/>
        <v>#DIV/0!</v>
      </c>
      <c r="W17" s="18">
        <f t="shared" si="25"/>
        <v>151997.35999999999</v>
      </c>
      <c r="X17" s="22">
        <f t="shared" si="25"/>
        <v>0.37288129522567498</v>
      </c>
      <c r="Y17" s="18">
        <f t="shared" si="25"/>
        <v>151997.35999999999</v>
      </c>
      <c r="Z17" s="26">
        <f t="shared" si="25"/>
        <v>0.3553691601545696</v>
      </c>
      <c r="AA17" s="17">
        <f t="shared" si="0"/>
        <v>1613668.1999999997</v>
      </c>
    </row>
    <row r="18" spans="1:27" ht="27.95" customHeight="1" x14ac:dyDescent="0.15">
      <c r="A18" s="38" t="s">
        <v>34</v>
      </c>
      <c r="B18" s="11" t="s">
        <v>35</v>
      </c>
      <c r="C18" s="14"/>
      <c r="D18" s="10"/>
      <c r="E18" s="14"/>
      <c r="F18" s="10"/>
      <c r="G18" s="14"/>
      <c r="H18" s="10"/>
      <c r="I18" s="14"/>
      <c r="J18" s="10"/>
      <c r="K18" s="14"/>
      <c r="L18" s="10"/>
      <c r="M18" s="14"/>
      <c r="N18" s="10"/>
      <c r="O18" s="20"/>
      <c r="P18" s="21"/>
      <c r="Q18" s="20"/>
      <c r="R18" s="21"/>
      <c r="S18" s="20"/>
      <c r="T18" s="21"/>
      <c r="U18" s="20"/>
      <c r="V18" s="21"/>
      <c r="W18" s="20"/>
      <c r="X18" s="21"/>
      <c r="Y18" s="20"/>
      <c r="Z18" s="25">
        <f>Y18/Y5</f>
        <v>0</v>
      </c>
      <c r="AA18" s="17">
        <f t="shared" si="0"/>
        <v>0</v>
      </c>
    </row>
    <row r="19" spans="1:27" ht="27.95" customHeight="1" x14ac:dyDescent="0.15">
      <c r="A19" s="40"/>
      <c r="B19" s="11" t="s">
        <v>36</v>
      </c>
      <c r="C19" s="9"/>
      <c r="D19" s="10"/>
      <c r="E19" s="9"/>
      <c r="F19" s="10"/>
      <c r="G19" s="9"/>
      <c r="H19" s="10"/>
      <c r="I19" s="9"/>
      <c r="J19" s="10"/>
      <c r="K19" s="9"/>
      <c r="L19" s="10"/>
      <c r="M19" s="9"/>
      <c r="N19" s="10"/>
      <c r="O19" s="16"/>
      <c r="P19" s="21"/>
      <c r="Q19" s="16"/>
      <c r="R19" s="21"/>
      <c r="S19" s="16"/>
      <c r="T19" s="21"/>
      <c r="U19" s="16"/>
      <c r="V19" s="21"/>
      <c r="W19" s="16"/>
      <c r="X19" s="21"/>
      <c r="Y19" s="16"/>
      <c r="Z19" s="25">
        <f>Y19/Y5</f>
        <v>0</v>
      </c>
      <c r="AA19" s="17">
        <f t="shared" si="0"/>
        <v>0</v>
      </c>
    </row>
    <row r="20" spans="1:27" ht="27.95" customHeight="1" x14ac:dyDescent="0.15">
      <c r="A20" s="40"/>
      <c r="B20" s="11" t="s">
        <v>37</v>
      </c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16"/>
      <c r="P20" s="21"/>
      <c r="Q20" s="16"/>
      <c r="R20" s="21"/>
      <c r="S20" s="16"/>
      <c r="T20" s="21"/>
      <c r="U20" s="16"/>
      <c r="V20" s="21"/>
      <c r="W20" s="16"/>
      <c r="X20" s="21"/>
      <c r="Y20" s="16"/>
      <c r="Z20" s="25">
        <f>Y20/Y5</f>
        <v>0</v>
      </c>
      <c r="AA20" s="17">
        <f t="shared" si="0"/>
        <v>0</v>
      </c>
    </row>
    <row r="21" spans="1:27" ht="27.95" customHeight="1" x14ac:dyDescent="0.15">
      <c r="A21" s="40"/>
      <c r="B21" s="11" t="s">
        <v>38</v>
      </c>
      <c r="C21" s="14"/>
      <c r="D21" s="10"/>
      <c r="E21" s="14"/>
      <c r="F21" s="10"/>
      <c r="G21" s="14"/>
      <c r="H21" s="10"/>
      <c r="I21" s="14"/>
      <c r="J21" s="10"/>
      <c r="K21" s="14"/>
      <c r="L21" s="10"/>
      <c r="M21" s="14"/>
      <c r="N21" s="10"/>
      <c r="O21" s="14"/>
      <c r="P21" s="21"/>
      <c r="Q21" s="14"/>
      <c r="R21" s="21"/>
      <c r="S21" s="14"/>
      <c r="T21" s="21"/>
      <c r="U21" s="14"/>
      <c r="V21" s="21"/>
      <c r="W21" s="14"/>
      <c r="X21" s="21"/>
      <c r="Y21" s="14"/>
      <c r="Z21" s="25">
        <f>Y21/Y5</f>
        <v>0</v>
      </c>
      <c r="AA21" s="17">
        <f t="shared" si="0"/>
        <v>0</v>
      </c>
    </row>
    <row r="22" spans="1:27" ht="27.95" customHeight="1" x14ac:dyDescent="0.15">
      <c r="A22" s="40"/>
      <c r="B22" s="11" t="s">
        <v>39</v>
      </c>
      <c r="C22" s="9"/>
      <c r="D22" s="10"/>
      <c r="E22" s="14"/>
      <c r="F22" s="10"/>
      <c r="G22" s="14"/>
      <c r="H22" s="10"/>
      <c r="I22" s="14"/>
      <c r="J22" s="10"/>
      <c r="K22" s="14"/>
      <c r="L22" s="10"/>
      <c r="M22" s="14"/>
      <c r="N22" s="10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5">
        <f>Y22/Y5</f>
        <v>0</v>
      </c>
      <c r="AA22" s="17">
        <f t="shared" si="0"/>
        <v>0</v>
      </c>
    </row>
    <row r="23" spans="1:27" ht="27.95" customHeight="1" x14ac:dyDescent="0.15">
      <c r="A23" s="40"/>
      <c r="B23" s="11" t="s">
        <v>40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14"/>
      <c r="N23" s="10"/>
      <c r="O23" s="16"/>
      <c r="P23" s="21"/>
      <c r="Q23" s="20"/>
      <c r="R23" s="21"/>
      <c r="S23" s="16"/>
      <c r="T23" s="21"/>
      <c r="U23" s="16"/>
      <c r="V23" s="21"/>
      <c r="W23" s="20"/>
      <c r="X23" s="21"/>
      <c r="Y23" s="20"/>
      <c r="Z23" s="25">
        <f>Y23/Y5</f>
        <v>0</v>
      </c>
      <c r="AA23" s="17">
        <f t="shared" si="0"/>
        <v>0</v>
      </c>
    </row>
    <row r="24" spans="1:27" ht="27.95" customHeight="1" x14ac:dyDescent="0.15">
      <c r="A24" s="40"/>
      <c r="B24" s="11" t="s">
        <v>41</v>
      </c>
      <c r="C24" s="14"/>
      <c r="D24" s="10"/>
      <c r="E24" s="14"/>
      <c r="F24" s="10"/>
      <c r="G24" s="14"/>
      <c r="H24" s="10"/>
      <c r="I24" s="14"/>
      <c r="J24" s="10"/>
      <c r="K24" s="14"/>
      <c r="L24" s="10"/>
      <c r="M24" s="14"/>
      <c r="N24" s="10"/>
      <c r="O24" s="16"/>
      <c r="P24" s="21"/>
      <c r="Q24" s="20"/>
      <c r="R24" s="21"/>
      <c r="S24" s="20"/>
      <c r="T24" s="21"/>
      <c r="U24" s="20"/>
      <c r="V24" s="21"/>
      <c r="W24" s="20"/>
      <c r="X24" s="21"/>
      <c r="Y24" s="20"/>
      <c r="Z24" s="25">
        <f>Y24/Y5</f>
        <v>0</v>
      </c>
      <c r="AA24" s="17">
        <f t="shared" si="0"/>
        <v>0</v>
      </c>
    </row>
    <row r="25" spans="1:27" ht="27.95" customHeight="1" x14ac:dyDescent="0.15">
      <c r="A25" s="40"/>
      <c r="B25" s="11" t="s">
        <v>42</v>
      </c>
      <c r="C25" s="14"/>
      <c r="D25" s="10"/>
      <c r="E25" s="14"/>
      <c r="F25" s="10"/>
      <c r="G25" s="14"/>
      <c r="H25" s="10"/>
      <c r="I25" s="14"/>
      <c r="J25" s="10"/>
      <c r="K25" s="14"/>
      <c r="L25" s="10"/>
      <c r="M25" s="14"/>
      <c r="N25" s="10"/>
      <c r="O25" s="20"/>
      <c r="P25" s="21"/>
      <c r="Q25" s="20"/>
      <c r="R25" s="21"/>
      <c r="S25" s="20"/>
      <c r="T25" s="21"/>
      <c r="U25" s="20"/>
      <c r="V25" s="21"/>
      <c r="W25" s="20"/>
      <c r="X25" s="21"/>
      <c r="Y25" s="20"/>
      <c r="Z25" s="25">
        <f>Y25/Y5</f>
        <v>0</v>
      </c>
      <c r="AA25" s="17">
        <f t="shared" si="0"/>
        <v>0</v>
      </c>
    </row>
    <row r="26" spans="1:27" ht="27.95" customHeight="1" x14ac:dyDescent="0.15">
      <c r="A26" s="40"/>
      <c r="B26" s="11" t="s">
        <v>43</v>
      </c>
      <c r="C26" s="14"/>
      <c r="D26" s="10"/>
      <c r="E26" s="9"/>
      <c r="F26" s="10"/>
      <c r="G26" s="9"/>
      <c r="H26" s="10"/>
      <c r="I26" s="14"/>
      <c r="J26" s="10"/>
      <c r="K26" s="9"/>
      <c r="L26" s="10"/>
      <c r="M26" s="9"/>
      <c r="N26" s="10"/>
      <c r="O26" s="16"/>
      <c r="P26" s="21"/>
      <c r="Q26" s="16"/>
      <c r="R26" s="21"/>
      <c r="S26" s="23"/>
      <c r="T26" s="21"/>
      <c r="U26" s="16"/>
      <c r="V26" s="21"/>
      <c r="W26" s="16"/>
      <c r="X26" s="21"/>
      <c r="Y26" s="16"/>
      <c r="Z26" s="25">
        <f>Y26/Y5</f>
        <v>0</v>
      </c>
      <c r="AA26" s="17">
        <f t="shared" si="0"/>
        <v>0</v>
      </c>
    </row>
    <row r="27" spans="1:27" ht="27.95" customHeight="1" x14ac:dyDescent="0.15">
      <c r="A27" s="39"/>
      <c r="B27" s="11" t="s">
        <v>44</v>
      </c>
      <c r="C27" s="14"/>
      <c r="D27" s="10"/>
      <c r="E27" s="14"/>
      <c r="F27" s="10"/>
      <c r="G27" s="14"/>
      <c r="H27" s="10"/>
      <c r="I27" s="14"/>
      <c r="J27" s="10"/>
      <c r="K27" s="14"/>
      <c r="L27" s="10"/>
      <c r="M27" s="14"/>
      <c r="N27" s="10"/>
      <c r="O27" s="20"/>
      <c r="P27" s="21"/>
      <c r="Q27" s="20"/>
      <c r="R27" s="21"/>
      <c r="S27" s="20"/>
      <c r="T27" s="21"/>
      <c r="U27" s="20"/>
      <c r="V27" s="21"/>
      <c r="W27" s="20"/>
      <c r="X27" s="21"/>
      <c r="Y27" s="20"/>
      <c r="Z27" s="25">
        <f>Y27/Y5</f>
        <v>0</v>
      </c>
      <c r="AA27" s="17">
        <f t="shared" si="0"/>
        <v>0</v>
      </c>
    </row>
    <row r="28" spans="1:27" ht="27.95" customHeight="1" x14ac:dyDescent="0.15">
      <c r="A28" s="39"/>
      <c r="B28" s="11" t="s">
        <v>45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16"/>
      <c r="P28" s="21"/>
      <c r="Q28" s="16"/>
      <c r="R28" s="21"/>
      <c r="S28" s="20"/>
      <c r="T28" s="21"/>
      <c r="U28" s="14"/>
      <c r="V28" s="21"/>
      <c r="W28" s="16"/>
      <c r="X28" s="21"/>
      <c r="Y28" s="16"/>
      <c r="Z28" s="25">
        <f>Y28/Y5</f>
        <v>0</v>
      </c>
      <c r="AA28" s="17">
        <f t="shared" si="0"/>
        <v>0</v>
      </c>
    </row>
    <row r="29" spans="1:27" ht="27.95" customHeight="1" x14ac:dyDescent="0.15">
      <c r="A29" s="37" t="s">
        <v>46</v>
      </c>
      <c r="B29" s="37"/>
      <c r="C29" s="12">
        <f t="shared" ref="C29:Z29" si="26">SUM(C18:C28)</f>
        <v>0</v>
      </c>
      <c r="D29" s="13">
        <f t="shared" si="26"/>
        <v>0</v>
      </c>
      <c r="E29" s="12">
        <f t="shared" si="26"/>
        <v>0</v>
      </c>
      <c r="F29" s="13">
        <f t="shared" si="26"/>
        <v>0</v>
      </c>
      <c r="G29" s="12">
        <f t="shared" si="26"/>
        <v>0</v>
      </c>
      <c r="H29" s="13">
        <f t="shared" si="26"/>
        <v>0</v>
      </c>
      <c r="I29" s="12">
        <f t="shared" si="26"/>
        <v>0</v>
      </c>
      <c r="J29" s="13">
        <f t="shared" si="26"/>
        <v>0</v>
      </c>
      <c r="K29" s="12">
        <f t="shared" si="26"/>
        <v>0</v>
      </c>
      <c r="L29" s="13">
        <f t="shared" si="26"/>
        <v>0</v>
      </c>
      <c r="M29" s="12">
        <f t="shared" si="26"/>
        <v>0</v>
      </c>
      <c r="N29" s="13">
        <f t="shared" si="26"/>
        <v>0</v>
      </c>
      <c r="O29" s="18">
        <f t="shared" si="26"/>
        <v>0</v>
      </c>
      <c r="P29" s="22">
        <f t="shared" si="26"/>
        <v>0</v>
      </c>
      <c r="Q29" s="18">
        <f t="shared" si="26"/>
        <v>0</v>
      </c>
      <c r="R29" s="22">
        <f t="shared" si="26"/>
        <v>0</v>
      </c>
      <c r="S29" s="18">
        <f t="shared" si="26"/>
        <v>0</v>
      </c>
      <c r="T29" s="22">
        <f t="shared" si="26"/>
        <v>0</v>
      </c>
      <c r="U29" s="18">
        <f t="shared" si="26"/>
        <v>0</v>
      </c>
      <c r="V29" s="22">
        <f t="shared" si="26"/>
        <v>0</v>
      </c>
      <c r="W29" s="18">
        <f t="shared" si="26"/>
        <v>0</v>
      </c>
      <c r="X29" s="22">
        <f t="shared" si="26"/>
        <v>0</v>
      </c>
      <c r="Y29" s="18">
        <f t="shared" si="26"/>
        <v>0</v>
      </c>
      <c r="Z29" s="26">
        <f t="shared" si="26"/>
        <v>0</v>
      </c>
      <c r="AA29" s="17">
        <f t="shared" si="0"/>
        <v>0</v>
      </c>
    </row>
    <row r="30" spans="1:27" ht="27.95" customHeight="1" x14ac:dyDescent="0.15">
      <c r="A30" s="34" t="s">
        <v>47</v>
      </c>
      <c r="B30" s="11" t="s">
        <v>48</v>
      </c>
      <c r="C30" s="9"/>
      <c r="D30" s="10">
        <f t="shared" ref="D30:H30" si="27">C30/C5</f>
        <v>0</v>
      </c>
      <c r="E30" s="9"/>
      <c r="F30" s="10">
        <f t="shared" si="27"/>
        <v>0</v>
      </c>
      <c r="G30" s="9"/>
      <c r="H30" s="10">
        <f t="shared" si="27"/>
        <v>0</v>
      </c>
      <c r="I30" s="9"/>
      <c r="J30" s="10">
        <f t="shared" ref="J30:N30" si="28">I30/I5</f>
        <v>0</v>
      </c>
      <c r="K30" s="9"/>
      <c r="L30" s="10">
        <f t="shared" si="28"/>
        <v>0</v>
      </c>
      <c r="M30" s="9"/>
      <c r="N30" s="10">
        <f t="shared" si="28"/>
        <v>0</v>
      </c>
      <c r="O30" s="16"/>
      <c r="P30" s="21">
        <f t="shared" ref="P30:T30" si="29">O30/O5</f>
        <v>0</v>
      </c>
      <c r="Q30" s="16"/>
      <c r="R30" s="21">
        <f t="shared" si="29"/>
        <v>0</v>
      </c>
      <c r="S30" s="16"/>
      <c r="T30" s="21">
        <f t="shared" si="29"/>
        <v>0</v>
      </c>
      <c r="U30" s="16"/>
      <c r="V30" s="21" t="e">
        <f t="shared" ref="V30:Z30" si="30">U30/U5</f>
        <v>#DIV/0!</v>
      </c>
      <c r="W30" s="16"/>
      <c r="X30" s="21">
        <f t="shared" si="30"/>
        <v>0</v>
      </c>
      <c r="Y30" s="16"/>
      <c r="Z30" s="25">
        <f t="shared" si="30"/>
        <v>0</v>
      </c>
      <c r="AA30" s="17">
        <f t="shared" si="0"/>
        <v>0</v>
      </c>
    </row>
    <row r="31" spans="1:27" ht="27.95" customHeight="1" x14ac:dyDescent="0.15">
      <c r="A31" s="34"/>
      <c r="B31" s="11" t="s">
        <v>49</v>
      </c>
      <c r="C31" s="9"/>
      <c r="D31" s="10">
        <f t="shared" ref="D31:H31" si="31">C31/C5</f>
        <v>0</v>
      </c>
      <c r="E31" s="9"/>
      <c r="F31" s="10">
        <f t="shared" si="31"/>
        <v>0</v>
      </c>
      <c r="G31" s="9"/>
      <c r="H31" s="10">
        <f t="shared" si="31"/>
        <v>0</v>
      </c>
      <c r="I31" s="9"/>
      <c r="J31" s="10">
        <f t="shared" ref="J31:N31" si="32">I31/I5</f>
        <v>0</v>
      </c>
      <c r="K31" s="9"/>
      <c r="L31" s="10">
        <f t="shared" si="32"/>
        <v>0</v>
      </c>
      <c r="M31" s="9"/>
      <c r="N31" s="10">
        <f t="shared" si="32"/>
        <v>0</v>
      </c>
      <c r="O31" s="16"/>
      <c r="P31" s="21">
        <f t="shared" ref="P31:T31" si="33">O31/O5</f>
        <v>0</v>
      </c>
      <c r="Q31" s="16"/>
      <c r="R31" s="21">
        <f t="shared" si="33"/>
        <v>0</v>
      </c>
      <c r="S31" s="16"/>
      <c r="T31" s="21">
        <f t="shared" si="33"/>
        <v>0</v>
      </c>
      <c r="U31" s="16"/>
      <c r="V31" s="21" t="e">
        <f t="shared" ref="V31:Z31" si="34">U31/U5</f>
        <v>#DIV/0!</v>
      </c>
      <c r="W31" s="16"/>
      <c r="X31" s="21">
        <f t="shared" si="34"/>
        <v>0</v>
      </c>
      <c r="Y31" s="16"/>
      <c r="Z31" s="25">
        <f t="shared" si="34"/>
        <v>0</v>
      </c>
      <c r="AA31" s="17">
        <f t="shared" si="0"/>
        <v>0</v>
      </c>
    </row>
    <row r="32" spans="1:27" ht="27.95" customHeight="1" x14ac:dyDescent="0.15">
      <c r="A32" s="34"/>
      <c r="B32" s="11" t="s">
        <v>45</v>
      </c>
      <c r="C32" s="9"/>
      <c r="D32" s="10">
        <f t="shared" ref="D32:H32" si="35">C32/C5</f>
        <v>0</v>
      </c>
      <c r="E32" s="9"/>
      <c r="F32" s="10">
        <f t="shared" si="35"/>
        <v>0</v>
      </c>
      <c r="G32" s="9"/>
      <c r="H32" s="10">
        <f t="shared" si="35"/>
        <v>0</v>
      </c>
      <c r="I32" s="9"/>
      <c r="J32" s="10">
        <f t="shared" ref="J32:N32" si="36">I32/I5</f>
        <v>0</v>
      </c>
      <c r="K32" s="9"/>
      <c r="L32" s="10">
        <f t="shared" si="36"/>
        <v>0</v>
      </c>
      <c r="M32" s="9"/>
      <c r="N32" s="10">
        <f t="shared" si="36"/>
        <v>0</v>
      </c>
      <c r="O32" s="20">
        <f>20000/17</f>
        <v>1176.4705882352941</v>
      </c>
      <c r="P32" s="21">
        <f t="shared" ref="P32:T32" si="37">O32/O5</f>
        <v>2.64119086996468E-3</v>
      </c>
      <c r="Q32" s="16"/>
      <c r="R32" s="21">
        <f t="shared" si="37"/>
        <v>0</v>
      </c>
      <c r="S32" s="16"/>
      <c r="T32" s="21">
        <f t="shared" si="37"/>
        <v>0</v>
      </c>
      <c r="U32" s="14">
        <v>2164</v>
      </c>
      <c r="V32" s="21" t="e">
        <f t="shared" ref="V32:Z32" si="38">U32/U5</f>
        <v>#DIV/0!</v>
      </c>
      <c r="W32" s="16"/>
      <c r="X32" s="21">
        <f t="shared" si="38"/>
        <v>0</v>
      </c>
      <c r="Y32" s="16"/>
      <c r="Z32" s="25">
        <f t="shared" si="38"/>
        <v>0</v>
      </c>
      <c r="AA32" s="17">
        <f t="shared" si="0"/>
        <v>3340.4705882352941</v>
      </c>
    </row>
    <row r="33" spans="1:27" ht="27.95" customHeight="1" x14ac:dyDescent="0.15">
      <c r="A33" s="37" t="s">
        <v>50</v>
      </c>
      <c r="B33" s="37"/>
      <c r="C33" s="12">
        <f t="shared" ref="C33:Z33" si="39">SUM(C30:C32)</f>
        <v>0</v>
      </c>
      <c r="D33" s="13">
        <f t="shared" si="39"/>
        <v>0</v>
      </c>
      <c r="E33" s="12">
        <f t="shared" si="39"/>
        <v>0</v>
      </c>
      <c r="F33" s="13">
        <f t="shared" si="39"/>
        <v>0</v>
      </c>
      <c r="G33" s="12">
        <f t="shared" si="39"/>
        <v>0</v>
      </c>
      <c r="H33" s="13">
        <f t="shared" si="39"/>
        <v>0</v>
      </c>
      <c r="I33" s="12">
        <f t="shared" si="39"/>
        <v>0</v>
      </c>
      <c r="J33" s="13">
        <f t="shared" si="39"/>
        <v>0</v>
      </c>
      <c r="K33" s="12">
        <f t="shared" si="39"/>
        <v>0</v>
      </c>
      <c r="L33" s="13">
        <f t="shared" si="39"/>
        <v>0</v>
      </c>
      <c r="M33" s="12">
        <f t="shared" si="39"/>
        <v>0</v>
      </c>
      <c r="N33" s="13">
        <f t="shared" si="39"/>
        <v>0</v>
      </c>
      <c r="O33" s="18">
        <f t="shared" si="39"/>
        <v>1176.4705882352941</v>
      </c>
      <c r="P33" s="22">
        <f t="shared" si="39"/>
        <v>2.64119086996468E-3</v>
      </c>
      <c r="Q33" s="18">
        <f t="shared" si="39"/>
        <v>0</v>
      </c>
      <c r="R33" s="22">
        <f t="shared" si="39"/>
        <v>0</v>
      </c>
      <c r="S33" s="18">
        <f t="shared" si="39"/>
        <v>0</v>
      </c>
      <c r="T33" s="22">
        <f t="shared" si="39"/>
        <v>0</v>
      </c>
      <c r="U33" s="18">
        <f t="shared" si="39"/>
        <v>2164</v>
      </c>
      <c r="V33" s="22" t="e">
        <f t="shared" si="39"/>
        <v>#DIV/0!</v>
      </c>
      <c r="W33" s="18">
        <f t="shared" si="39"/>
        <v>0</v>
      </c>
      <c r="X33" s="22">
        <f t="shared" si="39"/>
        <v>0</v>
      </c>
      <c r="Y33" s="18">
        <f t="shared" si="39"/>
        <v>0</v>
      </c>
      <c r="Z33" s="26">
        <f t="shared" si="39"/>
        <v>0</v>
      </c>
      <c r="AA33" s="17">
        <f t="shared" si="0"/>
        <v>3340.4705882352941</v>
      </c>
    </row>
    <row r="34" spans="1:27" ht="27.95" customHeight="1" x14ac:dyDescent="0.15">
      <c r="A34" s="34" t="s">
        <v>51</v>
      </c>
      <c r="B34" s="11" t="s">
        <v>52</v>
      </c>
      <c r="C34" s="14"/>
      <c r="D34" s="10"/>
      <c r="E34" s="14"/>
      <c r="F34" s="10"/>
      <c r="G34" s="14"/>
      <c r="H34" s="10"/>
      <c r="I34" s="14"/>
      <c r="J34" s="10"/>
      <c r="K34" s="14"/>
      <c r="L34" s="10"/>
      <c r="M34" s="14"/>
      <c r="N34" s="10"/>
      <c r="O34" s="20"/>
      <c r="P34" s="21"/>
      <c r="Q34" s="20"/>
      <c r="R34" s="21"/>
      <c r="S34" s="20"/>
      <c r="T34" s="21"/>
      <c r="U34" s="20"/>
      <c r="V34" s="21"/>
      <c r="W34" s="20"/>
      <c r="X34" s="21"/>
      <c r="Y34" s="20"/>
      <c r="Z34" s="25">
        <f>Y34/Y5</f>
        <v>0</v>
      </c>
      <c r="AA34" s="17">
        <f t="shared" si="0"/>
        <v>0</v>
      </c>
    </row>
    <row r="35" spans="1:27" ht="27.95" customHeight="1" x14ac:dyDescent="0.15">
      <c r="A35" s="34"/>
      <c r="B35" s="11" t="s">
        <v>53</v>
      </c>
      <c r="C35" s="14"/>
      <c r="D35" s="10"/>
      <c r="E35" s="14"/>
      <c r="F35" s="10"/>
      <c r="G35" s="14"/>
      <c r="H35" s="10"/>
      <c r="I35" s="14"/>
      <c r="J35" s="10"/>
      <c r="K35" s="14"/>
      <c r="L35" s="10"/>
      <c r="M35" s="14"/>
      <c r="N35" s="10"/>
      <c r="O35" s="20"/>
      <c r="P35" s="21"/>
      <c r="Q35" s="20"/>
      <c r="R35" s="21"/>
      <c r="S35" s="20"/>
      <c r="T35" s="21"/>
      <c r="U35" s="20"/>
      <c r="V35" s="21"/>
      <c r="W35" s="20"/>
      <c r="X35" s="21"/>
      <c r="Y35" s="20"/>
      <c r="Z35" s="25">
        <f>Y35/Y5</f>
        <v>0</v>
      </c>
      <c r="AA35" s="17">
        <f t="shared" si="0"/>
        <v>0</v>
      </c>
    </row>
    <row r="36" spans="1:27" ht="27.95" customHeight="1" x14ac:dyDescent="0.15">
      <c r="A36" s="34"/>
      <c r="B36" s="11" t="s">
        <v>54</v>
      </c>
      <c r="C36" s="14">
        <v>100</v>
      </c>
      <c r="D36" s="10">
        <f t="shared" ref="D36:H36" si="40">C36/C5</f>
        <v>1.8208382556660847E-4</v>
      </c>
      <c r="E36" s="14">
        <v>105</v>
      </c>
      <c r="F36" s="10">
        <f t="shared" si="40"/>
        <v>6.3113140402273535E-4</v>
      </c>
      <c r="G36" s="9"/>
      <c r="H36" s="10">
        <f t="shared" si="40"/>
        <v>0</v>
      </c>
      <c r="I36" s="14">
        <v>105</v>
      </c>
      <c r="J36" s="10">
        <f t="shared" ref="J36:N36" si="41">I36/I5</f>
        <v>5.3098660851773317E-4</v>
      </c>
      <c r="K36" s="9"/>
      <c r="L36" s="10">
        <f t="shared" si="41"/>
        <v>0</v>
      </c>
      <c r="M36" s="14">
        <v>90</v>
      </c>
      <c r="N36" s="10">
        <f t="shared" si="41"/>
        <v>3.0046371566784736E-4</v>
      </c>
      <c r="O36" s="16"/>
      <c r="P36" s="21">
        <f t="shared" ref="P36:T36" si="42">O36/O5</f>
        <v>0</v>
      </c>
      <c r="Q36" s="16"/>
      <c r="R36" s="21">
        <f t="shared" si="42"/>
        <v>0</v>
      </c>
      <c r="S36" s="20">
        <v>720</v>
      </c>
      <c r="T36" s="21">
        <f t="shared" si="42"/>
        <v>1.7178504994793482E-3</v>
      </c>
      <c r="U36" s="16"/>
      <c r="V36" s="21" t="e">
        <f t="shared" ref="V36:Z36" si="43">U36/U5</f>
        <v>#DIV/0!</v>
      </c>
      <c r="W36" s="16"/>
      <c r="X36" s="21">
        <f t="shared" si="43"/>
        <v>0</v>
      </c>
      <c r="Y36" s="20">
        <v>90</v>
      </c>
      <c r="Z36" s="25">
        <f t="shared" si="43"/>
        <v>2.1041960474781445E-4</v>
      </c>
      <c r="AA36" s="17">
        <f t="shared" si="0"/>
        <v>1210</v>
      </c>
    </row>
    <row r="37" spans="1:27" ht="27.95" customHeight="1" x14ac:dyDescent="0.15">
      <c r="A37" s="34"/>
      <c r="B37" s="11" t="s">
        <v>55</v>
      </c>
      <c r="C37" s="14">
        <f>1492+91207</f>
        <v>92699</v>
      </c>
      <c r="D37" s="10">
        <f t="shared" ref="D37:H37" si="44">C37/C5</f>
        <v>0.16878988546199036</v>
      </c>
      <c r="E37" s="14">
        <v>107278</v>
      </c>
      <c r="F37" s="10">
        <f t="shared" si="44"/>
        <v>0.64482395010239046</v>
      </c>
      <c r="G37" s="14">
        <f>[3]宝华2020汇总!$F$11</f>
        <v>42609.335384615399</v>
      </c>
      <c r="H37" s="10">
        <f t="shared" si="44"/>
        <v>0.19904996136013928</v>
      </c>
      <c r="I37" s="14">
        <v>38448</v>
      </c>
      <c r="J37" s="10">
        <f t="shared" ref="J37:N37" si="45">I37/I5</f>
        <v>0.19443212499323623</v>
      </c>
      <c r="K37" s="14">
        <v>46432</v>
      </c>
      <c r="L37" s="10">
        <f t="shared" si="45"/>
        <v>0.1807167322435555</v>
      </c>
      <c r="M37" s="14">
        <f>'[4]5月'!$AA$23</f>
        <v>56928.150769230801</v>
      </c>
      <c r="N37" s="10">
        <f t="shared" si="45"/>
        <v>0.19005381895802789</v>
      </c>
      <c r="O37" s="20">
        <v>69771</v>
      </c>
      <c r="P37" s="21">
        <f t="shared" ref="P37:T37" si="46">O37/O5</f>
        <v>0.15663674896005983</v>
      </c>
      <c r="Q37" s="20">
        <v>79570</v>
      </c>
      <c r="R37" s="21">
        <f t="shared" si="46"/>
        <v>0.16345689328245169</v>
      </c>
      <c r="S37" s="20">
        <v>82821</v>
      </c>
      <c r="T37" s="21">
        <f t="shared" si="46"/>
        <v>0.19760291141302652</v>
      </c>
      <c r="U37" s="20">
        <v>73111</v>
      </c>
      <c r="V37" s="21" t="e">
        <f t="shared" ref="V37:Z37" si="47">U37/U5</f>
        <v>#DIV/0!</v>
      </c>
      <c r="W37" s="20">
        <v>87243</v>
      </c>
      <c r="X37" s="21">
        <f t="shared" si="47"/>
        <v>0.21402531490924293</v>
      </c>
      <c r="Y37" s="20">
        <v>71795</v>
      </c>
      <c r="Z37" s="25">
        <f t="shared" si="47"/>
        <v>0.16785639469854821</v>
      </c>
      <c r="AA37" s="17">
        <f t="shared" si="0"/>
        <v>848705.48615384614</v>
      </c>
    </row>
    <row r="38" spans="1:27" ht="27.95" customHeight="1" x14ac:dyDescent="0.15">
      <c r="A38" s="34"/>
      <c r="B38" s="11" t="s">
        <v>56</v>
      </c>
      <c r="C38" s="14">
        <v>926</v>
      </c>
      <c r="D38" s="10">
        <f t="shared" ref="D38:H38" si="48">C38/C5</f>
        <v>1.6860962247467943E-3</v>
      </c>
      <c r="E38" s="14">
        <v>267.48</v>
      </c>
      <c r="F38" s="10">
        <f t="shared" si="48"/>
        <v>1.6077621709333454E-3</v>
      </c>
      <c r="G38" s="14">
        <v>267.48</v>
      </c>
      <c r="H38" s="10">
        <f t="shared" si="48"/>
        <v>1.2495356518476386E-3</v>
      </c>
      <c r="I38" s="14">
        <f>267.48</f>
        <v>267.48</v>
      </c>
      <c r="J38" s="10">
        <f t="shared" ref="J38:N38" si="49">I38/I5</f>
        <v>1.3526504575840312E-3</v>
      </c>
      <c r="K38" s="14">
        <f>267.48</f>
        <v>267.48</v>
      </c>
      <c r="L38" s="10">
        <f t="shared" si="49"/>
        <v>1.041051678594638E-3</v>
      </c>
      <c r="M38" s="14">
        <f>267.48*2</f>
        <v>534.96</v>
      </c>
      <c r="N38" s="10">
        <f t="shared" si="49"/>
        <v>1.7859563259296849E-3</v>
      </c>
      <c r="O38" s="20">
        <f t="shared" ref="O38:S38" si="50">418.88*2</f>
        <v>837.76</v>
      </c>
      <c r="P38" s="21">
        <f t="shared" ref="P38:T38" si="51">O38/O5</f>
        <v>1.8807814537383685E-3</v>
      </c>
      <c r="Q38" s="20">
        <f t="shared" si="50"/>
        <v>837.76</v>
      </c>
      <c r="R38" s="21">
        <f t="shared" si="51"/>
        <v>1.7209708045281729E-3</v>
      </c>
      <c r="S38" s="20">
        <f t="shared" si="50"/>
        <v>837.76</v>
      </c>
      <c r="T38" s="21">
        <f t="shared" si="51"/>
        <v>1.9988144922830813E-3</v>
      </c>
      <c r="U38" s="20">
        <f>418.88*2</f>
        <v>837.76</v>
      </c>
      <c r="V38" s="21" t="e">
        <f t="shared" ref="V38:Z38" si="52">U38/U5</f>
        <v>#DIV/0!</v>
      </c>
      <c r="W38" s="20">
        <f>418.88*2</f>
        <v>837.76</v>
      </c>
      <c r="X38" s="21">
        <f t="shared" si="52"/>
        <v>2.055200392219059E-3</v>
      </c>
      <c r="Y38" s="20">
        <f>418.88*3</f>
        <v>1256.6399999999999</v>
      </c>
      <c r="Z38" s="25">
        <f t="shared" si="52"/>
        <v>2.9380188012254837E-3</v>
      </c>
      <c r="AA38" s="17">
        <f t="shared" si="0"/>
        <v>7976.3200000000015</v>
      </c>
    </row>
    <row r="39" spans="1:27" ht="27.95" customHeight="1" x14ac:dyDescent="0.15">
      <c r="A39" s="34"/>
      <c r="B39" s="11" t="s">
        <v>57</v>
      </c>
      <c r="C39" s="9"/>
      <c r="D39" s="10">
        <f t="shared" ref="D39:H39" si="53">C39/C5</f>
        <v>0</v>
      </c>
      <c r="E39" s="9"/>
      <c r="F39" s="10">
        <f t="shared" si="53"/>
        <v>0</v>
      </c>
      <c r="G39" s="9"/>
      <c r="H39" s="10">
        <f t="shared" si="53"/>
        <v>0</v>
      </c>
      <c r="I39" s="14">
        <v>0</v>
      </c>
      <c r="J39" s="10">
        <f t="shared" ref="J39:N39" si="54">I39/I5</f>
        <v>0</v>
      </c>
      <c r="K39" s="9"/>
      <c r="L39" s="10">
        <f t="shared" si="54"/>
        <v>0</v>
      </c>
      <c r="M39" s="9"/>
      <c r="N39" s="10">
        <f t="shared" si="54"/>
        <v>0</v>
      </c>
      <c r="O39" s="16"/>
      <c r="P39" s="21">
        <f t="shared" ref="P39:T39" si="55">O39/O5</f>
        <v>0</v>
      </c>
      <c r="Q39" s="16"/>
      <c r="R39" s="21">
        <f t="shared" si="55"/>
        <v>0</v>
      </c>
      <c r="S39" s="16"/>
      <c r="T39" s="21">
        <f t="shared" si="55"/>
        <v>0</v>
      </c>
      <c r="U39" s="16"/>
      <c r="V39" s="21" t="e">
        <f t="shared" ref="V39:Z39" si="56">U39/U5</f>
        <v>#DIV/0!</v>
      </c>
      <c r="W39" s="16"/>
      <c r="X39" s="21">
        <f t="shared" si="56"/>
        <v>0</v>
      </c>
      <c r="Y39" s="16"/>
      <c r="Z39" s="25">
        <f t="shared" si="56"/>
        <v>0</v>
      </c>
      <c r="AA39" s="17">
        <f t="shared" si="0"/>
        <v>0</v>
      </c>
    </row>
    <row r="40" spans="1:27" ht="27.95" customHeight="1" x14ac:dyDescent="0.15">
      <c r="A40" s="34"/>
      <c r="B40" s="11" t="s">
        <v>58</v>
      </c>
      <c r="C40" s="14">
        <f>27184/14+1883.2</f>
        <v>3824.9142857142861</v>
      </c>
      <c r="D40" s="10">
        <f t="shared" ref="D40:H40" si="57">C40/C5</f>
        <v>6.9645502560722883E-3</v>
      </c>
      <c r="E40" s="14">
        <f>27800/14</f>
        <v>1985.7142857142858</v>
      </c>
      <c r="F40" s="10">
        <f t="shared" si="57"/>
        <v>1.193568233457962E-2</v>
      </c>
      <c r="G40" s="14">
        <f>14140.64/14</f>
        <v>1010.0457142857142</v>
      </c>
      <c r="H40" s="10">
        <f t="shared" si="57"/>
        <v>4.7184392477789506E-3</v>
      </c>
      <c r="I40" s="14">
        <f>23600/14</f>
        <v>1685.7142857142858</v>
      </c>
      <c r="J40" s="10">
        <f t="shared" ref="J40:N40" si="58">I40/I5</f>
        <v>8.5246829666792544E-3</v>
      </c>
      <c r="K40" s="14">
        <f>28793.12/14</f>
        <v>2056.6514285714284</v>
      </c>
      <c r="L40" s="10">
        <f t="shared" si="58"/>
        <v>8.0046374383069586E-3</v>
      </c>
      <c r="M40" s="14">
        <f>35781.32/13</f>
        <v>2752.4092307692308</v>
      </c>
      <c r="N40" s="10">
        <f t="shared" si="58"/>
        <v>9.1888789390600512E-3</v>
      </c>
      <c r="O40" s="20">
        <f>61713/16</f>
        <v>3857.0625</v>
      </c>
      <c r="P40" s="21">
        <f t="shared" ref="P40:T40" si="59">O40/O5</f>
        <v>8.6591525209006714E-3</v>
      </c>
      <c r="Q40" s="20">
        <f>46439.94/17+4000</f>
        <v>6731.7611764705889</v>
      </c>
      <c r="R40" s="21">
        <f t="shared" si="59"/>
        <v>1.3828739075346291E-2</v>
      </c>
      <c r="S40" s="20">
        <f>46497.22/16</f>
        <v>2906.0762500000001</v>
      </c>
      <c r="T40" s="21">
        <f t="shared" si="59"/>
        <v>6.933617413316071E-3</v>
      </c>
      <c r="U40" s="20">
        <f>38504.5/15</f>
        <v>2566.9666666666667</v>
      </c>
      <c r="V40" s="21" t="e">
        <f t="shared" ref="V40:Z40" si="60">U40/U5</f>
        <v>#DIV/0!</v>
      </c>
      <c r="W40" s="20">
        <f>75673/17</f>
        <v>4451.3529411764703</v>
      </c>
      <c r="X40" s="21">
        <f t="shared" si="60"/>
        <v>1.0920099205752654E-2</v>
      </c>
      <c r="Y40" s="20">
        <f>(12806+1290+29099.84+41122.7)/18+500</f>
        <v>5184.3633333333328</v>
      </c>
      <c r="Z40" s="25">
        <f t="shared" si="60"/>
        <v>1.2121018705211796E-2</v>
      </c>
      <c r="AA40" s="17">
        <f t="shared" si="0"/>
        <v>39013.03209841629</v>
      </c>
    </row>
    <row r="41" spans="1:27" ht="27.95" customHeight="1" x14ac:dyDescent="0.15">
      <c r="A41" s="34"/>
      <c r="B41" s="11" t="s">
        <v>59</v>
      </c>
      <c r="C41" s="14">
        <f>90+800</f>
        <v>890</v>
      </c>
      <c r="D41" s="10">
        <f t="shared" ref="D41:H41" si="61">C41/C5</f>
        <v>1.6205460475428152E-3</v>
      </c>
      <c r="E41" s="14">
        <v>115</v>
      </c>
      <c r="F41" s="10">
        <f t="shared" si="61"/>
        <v>6.9123915678680539E-4</v>
      </c>
      <c r="G41" s="14">
        <f>50+1100</f>
        <v>1150</v>
      </c>
      <c r="H41" s="10">
        <f t="shared" si="61"/>
        <v>5.3722371752085553E-3</v>
      </c>
      <c r="I41" s="14">
        <f>325.1+2200</f>
        <v>2525.1</v>
      </c>
      <c r="J41" s="10">
        <f t="shared" ref="J41:N41" si="62">I41/I5</f>
        <v>1.27694693825536E-2</v>
      </c>
      <c r="K41" s="14">
        <v>140</v>
      </c>
      <c r="L41" s="10">
        <f t="shared" si="62"/>
        <v>5.4489021610307047E-4</v>
      </c>
      <c r="M41" s="14">
        <v>308</v>
      </c>
      <c r="N41" s="10">
        <f t="shared" si="62"/>
        <v>1.0282536047299666E-3</v>
      </c>
      <c r="O41" s="20">
        <v>682.5</v>
      </c>
      <c r="P41" s="21">
        <f t="shared" ref="P41:T41" si="63">O41/O5</f>
        <v>1.5322208534382599E-3</v>
      </c>
      <c r="Q41" s="20">
        <v>544.9</v>
      </c>
      <c r="R41" s="21">
        <f t="shared" si="63"/>
        <v>1.1193623369311037E-3</v>
      </c>
      <c r="S41" s="20">
        <f>140+322.5</f>
        <v>462.5</v>
      </c>
      <c r="T41" s="21">
        <f t="shared" si="63"/>
        <v>1.1034803555683313E-3</v>
      </c>
      <c r="U41" s="20">
        <f>67.9+500+27.6</f>
        <v>595.5</v>
      </c>
      <c r="V41" s="21" t="e">
        <f t="shared" ref="V41:Z41" si="64">U41/U5</f>
        <v>#DIV/0!</v>
      </c>
      <c r="W41" s="20">
        <f>65.5+206</f>
        <v>271.5</v>
      </c>
      <c r="X41" s="21">
        <f t="shared" si="64"/>
        <v>6.6604625010441472E-4</v>
      </c>
      <c r="Y41" s="20">
        <f>149.5</f>
        <v>149.5</v>
      </c>
      <c r="Z41" s="25">
        <f t="shared" si="64"/>
        <v>3.4953034344220287E-4</v>
      </c>
      <c r="AA41" s="17">
        <f t="shared" si="0"/>
        <v>7834.5</v>
      </c>
    </row>
    <row r="42" spans="1:27" ht="27.95" customHeight="1" x14ac:dyDescent="0.15">
      <c r="A42" s="34"/>
      <c r="B42" s="11" t="s">
        <v>60</v>
      </c>
      <c r="C42" s="14">
        <f>4123+1407+32.5+972</f>
        <v>6534.5</v>
      </c>
      <c r="D42" s="10">
        <f t="shared" ref="D42:H42" si="65">C42/C5</f>
        <v>1.1898267581650029E-2</v>
      </c>
      <c r="E42" s="14"/>
      <c r="F42" s="10">
        <f t="shared" si="65"/>
        <v>0</v>
      </c>
      <c r="G42" s="14">
        <f>1811.5+745.07+216</f>
        <v>2772.57</v>
      </c>
      <c r="H42" s="10">
        <f t="shared" si="65"/>
        <v>1.2952090108580856E-2</v>
      </c>
      <c r="I42" s="14">
        <f>1818+590+88+432</f>
        <v>2928</v>
      </c>
      <c r="J42" s="10">
        <f t="shared" ref="J42:N42" si="66">I42/I5</f>
        <v>1.4806940854665931E-2</v>
      </c>
      <c r="K42" s="14">
        <f>2417.5+1024.6+48.5+324</f>
        <v>3814.6</v>
      </c>
      <c r="L42" s="10">
        <f t="shared" si="66"/>
        <v>1.4846701559619806E-2</v>
      </c>
      <c r="M42" s="14">
        <f>2865.4+1036.3+161+324</f>
        <v>4386.7</v>
      </c>
      <c r="N42" s="10">
        <f t="shared" si="66"/>
        <v>1.4644935350223844E-2</v>
      </c>
      <c r="O42" s="20">
        <f>205+756+3073.2+1458.9</f>
        <v>5493.1</v>
      </c>
      <c r="P42" s="21">
        <f t="shared" ref="P42:T42" si="67">O42/O5</f>
        <v>1.2332076732632535E-2</v>
      </c>
      <c r="Q42" s="20"/>
      <c r="R42" s="21">
        <f t="shared" si="67"/>
        <v>0</v>
      </c>
      <c r="S42" s="20">
        <f>152.5+216+2467.3+1027.28</f>
        <v>3863.08</v>
      </c>
      <c r="T42" s="21">
        <f t="shared" si="67"/>
        <v>9.2169359826787221E-3</v>
      </c>
      <c r="U42" s="20">
        <f>160.5+324+2515.9+856.8</f>
        <v>3857.2</v>
      </c>
      <c r="V42" s="21" t="e">
        <f t="shared" ref="V42:Z42" si="68">U42/U5</f>
        <v>#DIV/0!</v>
      </c>
      <c r="W42" s="20">
        <f>355.5+2701.5+1048.2</f>
        <v>4105.2</v>
      </c>
      <c r="X42" s="21">
        <f t="shared" si="68"/>
        <v>1.0070913686661669E-2</v>
      </c>
      <c r="Y42" s="20">
        <f>4106+910.1+272+540</f>
        <v>5828.1</v>
      </c>
      <c r="Z42" s="25">
        <f t="shared" si="68"/>
        <v>1.3626072204785972E-2</v>
      </c>
      <c r="AA42" s="17">
        <f t="shared" si="0"/>
        <v>43583.049999999996</v>
      </c>
    </row>
    <row r="43" spans="1:27" ht="27.95" customHeight="1" x14ac:dyDescent="0.15">
      <c r="A43" s="34"/>
      <c r="B43" s="11" t="s">
        <v>61</v>
      </c>
      <c r="C43" s="14">
        <v>10</v>
      </c>
      <c r="D43" s="10">
        <f t="shared" ref="D43:H43" si="69">C43/C5</f>
        <v>1.8208382556660845E-5</v>
      </c>
      <c r="E43" s="9"/>
      <c r="F43" s="10">
        <f t="shared" si="69"/>
        <v>0</v>
      </c>
      <c r="G43" s="14">
        <v>53.6</v>
      </c>
      <c r="H43" s="10">
        <f t="shared" si="69"/>
        <v>2.5039296747059007E-4</v>
      </c>
      <c r="I43" s="9"/>
      <c r="J43" s="10">
        <f t="shared" ref="J43:N43" si="70">I43/I5</f>
        <v>0</v>
      </c>
      <c r="K43" s="9"/>
      <c r="L43" s="10">
        <f t="shared" si="70"/>
        <v>0</v>
      </c>
      <c r="M43" s="14">
        <v>126.7</v>
      </c>
      <c r="N43" s="10">
        <f t="shared" si="70"/>
        <v>4.2298614194573628E-4</v>
      </c>
      <c r="O43" s="16"/>
      <c r="P43" s="21">
        <f t="shared" ref="P43:T43" si="71">O43/O5</f>
        <v>0</v>
      </c>
      <c r="Q43" s="20">
        <v>272</v>
      </c>
      <c r="R43" s="21">
        <f t="shared" si="71"/>
        <v>5.5875675471693921E-4</v>
      </c>
      <c r="S43" s="20">
        <v>43.3</v>
      </c>
      <c r="T43" s="21">
        <f t="shared" si="71"/>
        <v>1.0330962031591079E-4</v>
      </c>
      <c r="U43" s="20">
        <v>5.5</v>
      </c>
      <c r="V43" s="21" t="e">
        <f t="shared" ref="V43:Z43" si="72">U43/U5</f>
        <v>#DIV/0!</v>
      </c>
      <c r="W43" s="16"/>
      <c r="X43" s="21">
        <f t="shared" si="72"/>
        <v>0</v>
      </c>
      <c r="Y43" s="20">
        <v>11</v>
      </c>
      <c r="Z43" s="25">
        <f t="shared" si="72"/>
        <v>2.5717951691399543E-5</v>
      </c>
      <c r="AA43" s="17">
        <f t="shared" si="0"/>
        <v>522.1</v>
      </c>
    </row>
    <row r="44" spans="1:27" ht="27.95" customHeight="1" x14ac:dyDescent="0.15">
      <c r="A44" s="34"/>
      <c r="B44" s="11" t="s">
        <v>62</v>
      </c>
      <c r="C44" s="14">
        <v>108</v>
      </c>
      <c r="D44" s="10">
        <f t="shared" ref="D44:H44" si="73">C44/C5</f>
        <v>1.9665053161193713E-4</v>
      </c>
      <c r="E44" s="9"/>
      <c r="F44" s="10">
        <f t="shared" si="73"/>
        <v>0</v>
      </c>
      <c r="G44" s="14">
        <v>116</v>
      </c>
      <c r="H44" s="10">
        <f t="shared" si="73"/>
        <v>5.4189522810799335E-4</v>
      </c>
      <c r="I44" s="14">
        <f>56+295</f>
        <v>351</v>
      </c>
      <c r="J44" s="10">
        <f t="shared" ref="J44:N44" si="74">I44/I5</f>
        <v>1.7750123770449938E-3</v>
      </c>
      <c r="K44" s="14">
        <v>88</v>
      </c>
      <c r="L44" s="10">
        <f t="shared" si="74"/>
        <v>3.4250242155050149E-4</v>
      </c>
      <c r="M44" s="14">
        <v>125</v>
      </c>
      <c r="N44" s="10">
        <f t="shared" si="74"/>
        <v>4.1731071620534357E-4</v>
      </c>
      <c r="O44" s="20">
        <f>122</f>
        <v>122</v>
      </c>
      <c r="P44" s="21">
        <f t="shared" ref="P44:T44" si="75">O44/O5</f>
        <v>2.7389149321533729E-4</v>
      </c>
      <c r="Q44" s="20">
        <v>28</v>
      </c>
      <c r="R44" s="21">
        <f t="shared" si="75"/>
        <v>5.7519077691449631E-5</v>
      </c>
      <c r="S44" s="20">
        <v>88</v>
      </c>
      <c r="T44" s="21">
        <f t="shared" si="75"/>
        <v>2.0995950549192034E-4</v>
      </c>
      <c r="U44" s="20">
        <v>136</v>
      </c>
      <c r="V44" s="21" t="e">
        <f t="shared" ref="V44:Z44" si="76">U44/U5</f>
        <v>#DIV/0!</v>
      </c>
      <c r="W44" s="20">
        <v>126</v>
      </c>
      <c r="X44" s="21">
        <f t="shared" si="76"/>
        <v>3.0910433706503228E-4</v>
      </c>
      <c r="Y44" s="20">
        <v>58</v>
      </c>
      <c r="Z44" s="25">
        <f t="shared" si="76"/>
        <v>1.3560374528192486E-4</v>
      </c>
      <c r="AA44" s="17">
        <f t="shared" si="0"/>
        <v>1346</v>
      </c>
    </row>
    <row r="45" spans="1:27" ht="27.95" customHeight="1" x14ac:dyDescent="0.15">
      <c r="A45" s="34"/>
      <c r="B45" s="11" t="s">
        <v>63</v>
      </c>
      <c r="C45" s="14">
        <v>206.5</v>
      </c>
      <c r="D45" s="10">
        <f t="shared" ref="D45:H45" si="77">C45/C5</f>
        <v>3.7600309979504644E-4</v>
      </c>
      <c r="E45" s="14">
        <v>161</v>
      </c>
      <c r="F45" s="10">
        <f t="shared" si="77"/>
        <v>9.6773481950152755E-4</v>
      </c>
      <c r="G45" s="14">
        <v>0</v>
      </c>
      <c r="H45" s="10">
        <f t="shared" si="77"/>
        <v>0</v>
      </c>
      <c r="I45" s="14">
        <v>308</v>
      </c>
      <c r="J45" s="10">
        <f t="shared" ref="J45:N45" si="78">I45/I5</f>
        <v>1.557560718318684E-3</v>
      </c>
      <c r="K45" s="14">
        <v>155</v>
      </c>
      <c r="L45" s="10">
        <f t="shared" si="78"/>
        <v>6.0327131068554235E-4</v>
      </c>
      <c r="M45" s="14">
        <v>256</v>
      </c>
      <c r="N45" s="10">
        <f t="shared" si="78"/>
        <v>8.5465234678854364E-4</v>
      </c>
      <c r="O45" s="20">
        <v>571</v>
      </c>
      <c r="P45" s="21">
        <f t="shared" ref="P45:T45" si="79">O45/O5</f>
        <v>1.2819019887373574E-3</v>
      </c>
      <c r="Q45" s="20">
        <v>54</v>
      </c>
      <c r="R45" s="21">
        <f t="shared" si="79"/>
        <v>1.1092964983351E-4</v>
      </c>
      <c r="S45" s="20">
        <v>40</v>
      </c>
      <c r="T45" s="21">
        <f t="shared" si="79"/>
        <v>9.5436138859963783E-5</v>
      </c>
      <c r="U45" s="20">
        <v>56</v>
      </c>
      <c r="V45" s="21" t="e">
        <f t="shared" ref="V45:Z45" si="80">U45/U5</f>
        <v>#DIV/0!</v>
      </c>
      <c r="W45" s="20">
        <v>153</v>
      </c>
      <c r="X45" s="21">
        <f t="shared" si="80"/>
        <v>3.7534098072182487E-4</v>
      </c>
      <c r="Y45" s="20">
        <v>126</v>
      </c>
      <c r="Z45" s="25">
        <f t="shared" si="80"/>
        <v>2.9458744664694021E-4</v>
      </c>
      <c r="AA45" s="17">
        <f t="shared" si="0"/>
        <v>2086.5</v>
      </c>
    </row>
    <row r="46" spans="1:27" ht="27.95" customHeight="1" x14ac:dyDescent="0.15">
      <c r="A46" s="34"/>
      <c r="B46" s="11" t="s">
        <v>45</v>
      </c>
      <c r="C46" s="9"/>
      <c r="D46" s="10">
        <f t="shared" ref="D46:H46" si="81">C46/C5</f>
        <v>0</v>
      </c>
      <c r="E46" s="9"/>
      <c r="F46" s="10">
        <f t="shared" si="81"/>
        <v>0</v>
      </c>
      <c r="G46" s="14">
        <v>8300</v>
      </c>
      <c r="H46" s="10">
        <f t="shared" si="81"/>
        <v>3.8773537873244356E-2</v>
      </c>
      <c r="I46" s="14">
        <f>52*2</f>
        <v>104</v>
      </c>
      <c r="J46" s="10">
        <f t="shared" ref="J46:N46" si="82">I46/I5</f>
        <v>5.2592959319851663E-4</v>
      </c>
      <c r="K46" s="9"/>
      <c r="L46" s="10">
        <f t="shared" si="82"/>
        <v>0</v>
      </c>
      <c r="M46" s="9"/>
      <c r="N46" s="10">
        <f t="shared" si="82"/>
        <v>0</v>
      </c>
      <c r="O46" s="20">
        <f>675+156+135+135</f>
        <v>1101</v>
      </c>
      <c r="P46" s="21">
        <f t="shared" ref="P46:T46" si="83">O46/O5</f>
        <v>2.4717584756564453E-3</v>
      </c>
      <c r="Q46" s="20">
        <v>270</v>
      </c>
      <c r="R46" s="21">
        <f t="shared" si="83"/>
        <v>5.5464824916755002E-4</v>
      </c>
      <c r="S46" s="14">
        <v>190</v>
      </c>
      <c r="T46" s="21">
        <f t="shared" si="83"/>
        <v>4.5332165958482796E-4</v>
      </c>
      <c r="U46" s="14">
        <f>1150+805</f>
        <v>1955</v>
      </c>
      <c r="V46" s="21" t="e">
        <f t="shared" ref="V46:Z46" si="84">U46/U5</f>
        <v>#DIV/0!</v>
      </c>
      <c r="W46" s="14">
        <f>161+115</f>
        <v>276</v>
      </c>
      <c r="X46" s="21">
        <f t="shared" si="84"/>
        <v>6.770856907138802E-4</v>
      </c>
      <c r="Y46" s="14">
        <f>322+150+644</f>
        <v>1116</v>
      </c>
      <c r="Z46" s="25">
        <f t="shared" si="84"/>
        <v>2.6092030988728991E-3</v>
      </c>
      <c r="AA46" s="17">
        <f t="shared" si="0"/>
        <v>13312</v>
      </c>
    </row>
    <row r="47" spans="1:27" ht="27.95" customHeight="1" x14ac:dyDescent="0.15">
      <c r="A47" s="37" t="s">
        <v>64</v>
      </c>
      <c r="B47" s="37"/>
      <c r="C47" s="12">
        <f t="shared" ref="C47:Z47" si="85">SUM(C34:C46)</f>
        <v>105298.91428571429</v>
      </c>
      <c r="D47" s="13">
        <f t="shared" si="85"/>
        <v>0.19173229141153256</v>
      </c>
      <c r="E47" s="12">
        <f t="shared" si="85"/>
        <v>109912.19428571429</v>
      </c>
      <c r="F47" s="13">
        <f t="shared" si="85"/>
        <v>0.66065749998821455</v>
      </c>
      <c r="G47" s="12">
        <f t="shared" si="85"/>
        <v>56279.031098901112</v>
      </c>
      <c r="H47" s="13">
        <f t="shared" si="85"/>
        <v>0.26290808961237822</v>
      </c>
      <c r="I47" s="12">
        <f t="shared" si="85"/>
        <v>46722.294285714284</v>
      </c>
      <c r="J47" s="13">
        <f t="shared" si="85"/>
        <v>0.23627535795179899</v>
      </c>
      <c r="K47" s="12">
        <f t="shared" si="85"/>
        <v>52953.731428571431</v>
      </c>
      <c r="L47" s="13">
        <f t="shared" si="85"/>
        <v>0.20609978686841604</v>
      </c>
      <c r="M47" s="12">
        <f t="shared" si="85"/>
        <v>65507.920000000027</v>
      </c>
      <c r="N47" s="13">
        <f t="shared" si="85"/>
        <v>0.21869725609857896</v>
      </c>
      <c r="O47" s="18">
        <f t="shared" si="85"/>
        <v>82435.422500000001</v>
      </c>
      <c r="P47" s="22">
        <f t="shared" si="85"/>
        <v>0.18506853247837879</v>
      </c>
      <c r="Q47" s="18">
        <f t="shared" si="85"/>
        <v>88308.421176470583</v>
      </c>
      <c r="R47" s="22">
        <f t="shared" si="85"/>
        <v>0.18140781923066671</v>
      </c>
      <c r="S47" s="18">
        <f t="shared" si="85"/>
        <v>91971.716249999998</v>
      </c>
      <c r="T47" s="22">
        <f t="shared" si="85"/>
        <v>0.21943563708060471</v>
      </c>
      <c r="U47" s="18">
        <f t="shared" si="85"/>
        <v>83120.926666666652</v>
      </c>
      <c r="V47" s="22" t="e">
        <f t="shared" si="85"/>
        <v>#DIV/0!</v>
      </c>
      <c r="W47" s="18">
        <f t="shared" si="85"/>
        <v>97463.812941176468</v>
      </c>
      <c r="X47" s="22">
        <f t="shared" si="85"/>
        <v>0.23909910545248142</v>
      </c>
      <c r="Y47" s="18">
        <f t="shared" si="85"/>
        <v>85614.603333333333</v>
      </c>
      <c r="Z47" s="26">
        <f t="shared" si="85"/>
        <v>0.20016656660045465</v>
      </c>
      <c r="AA47" s="17">
        <f t="shared" si="0"/>
        <v>965588.98825226235</v>
      </c>
    </row>
    <row r="48" spans="1:27" ht="27.95" customHeight="1" x14ac:dyDescent="0.15">
      <c r="A48" s="38" t="s">
        <v>65</v>
      </c>
      <c r="B48" s="11" t="s">
        <v>66</v>
      </c>
      <c r="C48" s="14"/>
      <c r="D48" s="10"/>
      <c r="E48" s="14"/>
      <c r="F48" s="10"/>
      <c r="G48" s="14"/>
      <c r="H48" s="10"/>
      <c r="I48" s="14"/>
      <c r="J48" s="10"/>
      <c r="K48" s="14"/>
      <c r="L48" s="10"/>
      <c r="M48" s="14"/>
      <c r="N48" s="10"/>
      <c r="O48" s="14"/>
      <c r="P48" s="21"/>
      <c r="Q48" s="14"/>
      <c r="R48" s="21"/>
      <c r="S48" s="14"/>
      <c r="T48" s="21"/>
      <c r="U48" s="14"/>
      <c r="V48" s="21"/>
      <c r="W48" s="14"/>
      <c r="X48" s="21"/>
      <c r="Y48" s="14"/>
      <c r="Z48" s="25">
        <f>Y48/Y5</f>
        <v>0</v>
      </c>
      <c r="AA48" s="17">
        <f t="shared" si="0"/>
        <v>0</v>
      </c>
    </row>
    <row r="49" spans="1:27" ht="27.95" customHeight="1" x14ac:dyDescent="0.15">
      <c r="A49" s="40"/>
      <c r="B49" s="11" t="s">
        <v>67</v>
      </c>
      <c r="C49" s="14"/>
      <c r="D49" s="10"/>
      <c r="E49" s="14"/>
      <c r="F49" s="10"/>
      <c r="G49" s="14"/>
      <c r="H49" s="10"/>
      <c r="I49" s="14"/>
      <c r="J49" s="10"/>
      <c r="K49" s="14"/>
      <c r="L49" s="10"/>
      <c r="M49" s="14"/>
      <c r="N49" s="10"/>
      <c r="O49" s="14"/>
      <c r="P49" s="21"/>
      <c r="Q49" s="14"/>
      <c r="R49" s="21"/>
      <c r="S49" s="14"/>
      <c r="T49" s="21"/>
      <c r="U49" s="14"/>
      <c r="V49" s="21"/>
      <c r="W49" s="14"/>
      <c r="X49" s="21"/>
      <c r="Y49" s="14"/>
      <c r="Z49" s="25">
        <f>Y49/Y5</f>
        <v>0</v>
      </c>
      <c r="AA49" s="17">
        <f t="shared" si="0"/>
        <v>0</v>
      </c>
    </row>
    <row r="50" spans="1:27" ht="27.95" customHeight="1" x14ac:dyDescent="0.15">
      <c r="A50" s="39"/>
      <c r="B50" s="11" t="s">
        <v>68</v>
      </c>
      <c r="C50" s="14">
        <f>C5*0.01</f>
        <v>5491.9759999999997</v>
      </c>
      <c r="D50" s="10">
        <f t="shared" ref="D50:H50" si="86">C50/C5</f>
        <v>0.01</v>
      </c>
      <c r="E50" s="14">
        <v>0</v>
      </c>
      <c r="F50" s="10">
        <f t="shared" si="86"/>
        <v>0</v>
      </c>
      <c r="G50" s="14">
        <v>0</v>
      </c>
      <c r="H50" s="10">
        <f t="shared" si="86"/>
        <v>0</v>
      </c>
      <c r="I50" s="14">
        <v>0</v>
      </c>
      <c r="J50" s="10">
        <f t="shared" ref="J50:N50" si="87">I50/I5</f>
        <v>0</v>
      </c>
      <c r="K50" s="14">
        <v>0</v>
      </c>
      <c r="L50" s="10">
        <f t="shared" si="87"/>
        <v>0</v>
      </c>
      <c r="M50" s="14">
        <v>0</v>
      </c>
      <c r="N50" s="10">
        <f t="shared" si="87"/>
        <v>0</v>
      </c>
      <c r="O50" s="14">
        <f t="shared" ref="O50:S50" si="88">O5*0.01</f>
        <v>4454.3186999999998</v>
      </c>
      <c r="P50" s="21">
        <f t="shared" ref="P50:T50" si="89">O50/O5</f>
        <v>0.01</v>
      </c>
      <c r="Q50" s="14">
        <f t="shared" si="88"/>
        <v>4867.9501</v>
      </c>
      <c r="R50" s="21">
        <f t="shared" si="89"/>
        <v>0.01</v>
      </c>
      <c r="S50" s="14">
        <f t="shared" si="88"/>
        <v>4191.2844000000005</v>
      </c>
      <c r="T50" s="21">
        <f t="shared" si="89"/>
        <v>0.01</v>
      </c>
      <c r="U50" s="14">
        <f t="shared" ref="U50:Y50" si="90">U5*0.01</f>
        <v>0</v>
      </c>
      <c r="V50" s="21" t="e">
        <f t="shared" ref="V50:Z50" si="91">U50/U5</f>
        <v>#DIV/0!</v>
      </c>
      <c r="W50" s="14">
        <f t="shared" si="90"/>
        <v>4076.2934999999998</v>
      </c>
      <c r="X50" s="21">
        <f t="shared" si="91"/>
        <v>0.01</v>
      </c>
      <c r="Y50" s="14">
        <f t="shared" si="90"/>
        <v>4277.1679999999997</v>
      </c>
      <c r="Z50" s="25">
        <f t="shared" si="91"/>
        <v>0.01</v>
      </c>
      <c r="AA50" s="17">
        <f t="shared" si="0"/>
        <v>27358.990699999995</v>
      </c>
    </row>
    <row r="51" spans="1:27" ht="27.95" customHeight="1" x14ac:dyDescent="0.15">
      <c r="A51" s="37" t="s">
        <v>69</v>
      </c>
      <c r="B51" s="37"/>
      <c r="C51" s="12">
        <f t="shared" ref="C51:Z51" si="92">SUM(C48:C50)</f>
        <v>5491.9759999999997</v>
      </c>
      <c r="D51" s="13">
        <f t="shared" si="92"/>
        <v>0.01</v>
      </c>
      <c r="E51" s="12">
        <f t="shared" si="92"/>
        <v>0</v>
      </c>
      <c r="F51" s="13">
        <f t="shared" si="92"/>
        <v>0</v>
      </c>
      <c r="G51" s="12">
        <f t="shared" si="92"/>
        <v>0</v>
      </c>
      <c r="H51" s="13">
        <f t="shared" si="92"/>
        <v>0</v>
      </c>
      <c r="I51" s="12">
        <f t="shared" si="92"/>
        <v>0</v>
      </c>
      <c r="J51" s="13">
        <f t="shared" si="92"/>
        <v>0</v>
      </c>
      <c r="K51" s="12">
        <f t="shared" si="92"/>
        <v>0</v>
      </c>
      <c r="L51" s="13">
        <f t="shared" si="92"/>
        <v>0</v>
      </c>
      <c r="M51" s="12">
        <f t="shared" si="92"/>
        <v>0</v>
      </c>
      <c r="N51" s="13">
        <f t="shared" si="92"/>
        <v>0</v>
      </c>
      <c r="O51" s="18">
        <f t="shared" si="92"/>
        <v>4454.3186999999998</v>
      </c>
      <c r="P51" s="22">
        <f t="shared" si="92"/>
        <v>0.01</v>
      </c>
      <c r="Q51" s="18">
        <f t="shared" si="92"/>
        <v>4867.9501</v>
      </c>
      <c r="R51" s="22">
        <f t="shared" si="92"/>
        <v>0.01</v>
      </c>
      <c r="S51" s="18">
        <f t="shared" si="92"/>
        <v>4191.2844000000005</v>
      </c>
      <c r="T51" s="22">
        <f t="shared" si="92"/>
        <v>0.01</v>
      </c>
      <c r="U51" s="18">
        <f t="shared" si="92"/>
        <v>0</v>
      </c>
      <c r="V51" s="22" t="e">
        <f t="shared" si="92"/>
        <v>#DIV/0!</v>
      </c>
      <c r="W51" s="18">
        <f t="shared" si="92"/>
        <v>4076.2934999999998</v>
      </c>
      <c r="X51" s="22">
        <f t="shared" si="92"/>
        <v>0.01</v>
      </c>
      <c r="Y51" s="18">
        <f t="shared" si="92"/>
        <v>4277.1679999999997</v>
      </c>
      <c r="Z51" s="26">
        <f t="shared" si="92"/>
        <v>0.01</v>
      </c>
      <c r="AA51" s="17">
        <f t="shared" si="0"/>
        <v>27358.990699999995</v>
      </c>
    </row>
    <row r="52" spans="1:27" ht="27.95" customHeight="1" x14ac:dyDescent="0.15">
      <c r="A52" s="34" t="s">
        <v>70</v>
      </c>
      <c r="B52" s="11" t="s">
        <v>71</v>
      </c>
      <c r="C52" s="14">
        <f>1930/14</f>
        <v>137.85714285714286</v>
      </c>
      <c r="D52" s="10">
        <f t="shared" ref="D52:H52" si="93">C52/C5</f>
        <v>2.5101555953111024E-4</v>
      </c>
      <c r="E52" s="9"/>
      <c r="F52" s="10">
        <f t="shared" si="93"/>
        <v>0</v>
      </c>
      <c r="G52" s="14">
        <f>450/14</f>
        <v>32.142857142857146</v>
      </c>
      <c r="H52" s="10">
        <f t="shared" si="93"/>
        <v>1.501556974437174E-4</v>
      </c>
      <c r="I52" s="9"/>
      <c r="J52" s="10">
        <f t="shared" ref="J52:N52" si="94">I52/I5</f>
        <v>0</v>
      </c>
      <c r="K52" s="14">
        <f>950/14</f>
        <v>67.857142857142861</v>
      </c>
      <c r="L52" s="10">
        <f t="shared" si="94"/>
        <v>2.6410495168261073E-4</v>
      </c>
      <c r="M52" s="9"/>
      <c r="N52" s="10">
        <f t="shared" si="94"/>
        <v>0</v>
      </c>
      <c r="O52" s="16"/>
      <c r="P52" s="21">
        <f t="shared" ref="P52:T52" si="95">O52/O5</f>
        <v>0</v>
      </c>
      <c r="Q52" s="20">
        <f>450/17</f>
        <v>26.470588235294116</v>
      </c>
      <c r="R52" s="21">
        <f t="shared" si="95"/>
        <v>5.4377279330151956E-5</v>
      </c>
      <c r="S52" s="16"/>
      <c r="T52" s="21">
        <f t="shared" si="95"/>
        <v>0</v>
      </c>
      <c r="U52" s="20">
        <f>500/16</f>
        <v>31.25</v>
      </c>
      <c r="V52" s="21" t="e">
        <f t="shared" ref="V52:Z52" si="96">U52/U5</f>
        <v>#DIV/0!</v>
      </c>
      <c r="W52" s="20">
        <f>2590/16</f>
        <v>161.875</v>
      </c>
      <c r="X52" s="21">
        <f t="shared" si="96"/>
        <v>3.9711321081271504E-4</v>
      </c>
      <c r="Y52" s="20">
        <f>2000/18</f>
        <v>111.11111111111111</v>
      </c>
      <c r="Z52" s="25">
        <f t="shared" si="96"/>
        <v>2.5977728981211662E-4</v>
      </c>
      <c r="AA52" s="17">
        <f t="shared" si="0"/>
        <v>568.56384220354812</v>
      </c>
    </row>
    <row r="53" spans="1:27" ht="27.95" customHeight="1" x14ac:dyDescent="0.15">
      <c r="A53" s="34"/>
      <c r="B53" s="11" t="s">
        <v>72</v>
      </c>
      <c r="C53" s="14">
        <v>106</v>
      </c>
      <c r="D53" s="10">
        <f t="shared" ref="D53:H53" si="97">C53/C5</f>
        <v>1.9300885510060495E-4</v>
      </c>
      <c r="E53" s="9"/>
      <c r="F53" s="10">
        <f t="shared" si="97"/>
        <v>0</v>
      </c>
      <c r="G53" s="9"/>
      <c r="H53" s="10">
        <f t="shared" si="97"/>
        <v>0</v>
      </c>
      <c r="I53" s="14">
        <v>165</v>
      </c>
      <c r="J53" s="10">
        <f t="shared" ref="J53:N53" si="98">I53/I5</f>
        <v>8.3440752767072353E-4</v>
      </c>
      <c r="K53" s="9"/>
      <c r="L53" s="10">
        <f t="shared" si="98"/>
        <v>0</v>
      </c>
      <c r="M53" s="9"/>
      <c r="N53" s="10">
        <f t="shared" si="98"/>
        <v>0</v>
      </c>
      <c r="O53" s="16"/>
      <c r="P53" s="21">
        <f t="shared" ref="P53:T53" si="99">O53/O5</f>
        <v>0</v>
      </c>
      <c r="Q53" s="16"/>
      <c r="R53" s="21">
        <f t="shared" si="99"/>
        <v>0</v>
      </c>
      <c r="S53" s="20">
        <v>20</v>
      </c>
      <c r="T53" s="21">
        <f t="shared" si="99"/>
        <v>4.7718069429981891E-5</v>
      </c>
      <c r="U53" s="16"/>
      <c r="V53" s="21" t="e">
        <f t="shared" ref="V53:Z53" si="100">U53/U5</f>
        <v>#DIV/0!</v>
      </c>
      <c r="W53" s="16"/>
      <c r="X53" s="21">
        <f t="shared" si="100"/>
        <v>0</v>
      </c>
      <c r="Y53" s="16"/>
      <c r="Z53" s="25">
        <f t="shared" si="100"/>
        <v>0</v>
      </c>
      <c r="AA53" s="17">
        <f t="shared" si="0"/>
        <v>291</v>
      </c>
    </row>
    <row r="54" spans="1:27" ht="27.95" customHeight="1" x14ac:dyDescent="0.15">
      <c r="A54" s="34"/>
      <c r="B54" s="11" t="s">
        <v>73</v>
      </c>
      <c r="C54" s="9"/>
      <c r="D54" s="10">
        <f t="shared" ref="D54:H54" si="101">C54/C5</f>
        <v>0</v>
      </c>
      <c r="E54" s="9"/>
      <c r="F54" s="10">
        <f t="shared" si="101"/>
        <v>0</v>
      </c>
      <c r="G54" s="9"/>
      <c r="H54" s="10">
        <f t="shared" si="101"/>
        <v>0</v>
      </c>
      <c r="I54" s="14">
        <f>285+1020</f>
        <v>1305</v>
      </c>
      <c r="J54" s="10">
        <f t="shared" ref="J54:N54" si="102">I54/I5</f>
        <v>6.5994049915775411E-3</v>
      </c>
      <c r="K54" s="9"/>
      <c r="L54" s="10">
        <f t="shared" si="102"/>
        <v>0</v>
      </c>
      <c r="M54" s="9"/>
      <c r="N54" s="10">
        <f t="shared" si="102"/>
        <v>0</v>
      </c>
      <c r="O54" s="16"/>
      <c r="P54" s="21">
        <f t="shared" ref="P54:T54" si="103">O54/O5</f>
        <v>0</v>
      </c>
      <c r="Q54" s="20">
        <f>1000+950</f>
        <v>1950</v>
      </c>
      <c r="R54" s="21">
        <f t="shared" si="103"/>
        <v>4.0057929106545277E-3</v>
      </c>
      <c r="S54" s="16"/>
      <c r="T54" s="21">
        <f t="shared" si="103"/>
        <v>0</v>
      </c>
      <c r="U54" s="20">
        <v>5815.5</v>
      </c>
      <c r="V54" s="21" t="e">
        <f t="shared" ref="V54:Z54" si="104">U54/U5</f>
        <v>#DIV/0!</v>
      </c>
      <c r="W54" s="16"/>
      <c r="X54" s="21">
        <f t="shared" si="104"/>
        <v>0</v>
      </c>
      <c r="Y54" s="16"/>
      <c r="Z54" s="25">
        <f t="shared" si="104"/>
        <v>0</v>
      </c>
      <c r="AA54" s="17">
        <f t="shared" si="0"/>
        <v>9070.5</v>
      </c>
    </row>
    <row r="55" spans="1:27" ht="27.95" customHeight="1" x14ac:dyDescent="0.15">
      <c r="A55" s="34"/>
      <c r="B55" s="11" t="s">
        <v>74</v>
      </c>
      <c r="C55" s="14">
        <v>1000</v>
      </c>
      <c r="D55" s="10">
        <f t="shared" ref="D55:H55" si="105">C55/C5</f>
        <v>1.8208382556660846E-3</v>
      </c>
      <c r="E55" s="9"/>
      <c r="F55" s="10">
        <f t="shared" si="105"/>
        <v>0</v>
      </c>
      <c r="G55" s="9"/>
      <c r="H55" s="10">
        <f t="shared" si="105"/>
        <v>0</v>
      </c>
      <c r="I55" s="9"/>
      <c r="J55" s="10">
        <f t="shared" ref="J55:N55" si="106">I55/I5</f>
        <v>0</v>
      </c>
      <c r="K55" s="14">
        <v>1000</v>
      </c>
      <c r="L55" s="10">
        <f t="shared" si="106"/>
        <v>3.8920729721647895E-3</v>
      </c>
      <c r="M55" s="9"/>
      <c r="N55" s="10">
        <f t="shared" si="106"/>
        <v>0</v>
      </c>
      <c r="O55" s="16"/>
      <c r="P55" s="21">
        <f t="shared" ref="P55:T55" si="107">O55/O5</f>
        <v>0</v>
      </c>
      <c r="Q55" s="20">
        <v>180</v>
      </c>
      <c r="R55" s="21">
        <f t="shared" si="107"/>
        <v>3.6976549944503333E-4</v>
      </c>
      <c r="S55" s="16"/>
      <c r="T55" s="21">
        <f t="shared" si="107"/>
        <v>0</v>
      </c>
      <c r="U55" s="16"/>
      <c r="V55" s="21" t="e">
        <f t="shared" ref="V55:Z55" si="108">U55/U5</f>
        <v>#DIV/0!</v>
      </c>
      <c r="W55" s="16"/>
      <c r="X55" s="21">
        <f t="shared" si="108"/>
        <v>0</v>
      </c>
      <c r="Y55" s="16"/>
      <c r="Z55" s="25">
        <f t="shared" si="108"/>
        <v>0</v>
      </c>
      <c r="AA55" s="17">
        <f t="shared" si="0"/>
        <v>2180</v>
      </c>
    </row>
    <row r="56" spans="1:27" ht="27.95" customHeight="1" x14ac:dyDescent="0.15">
      <c r="A56" s="34"/>
      <c r="B56" s="11" t="s">
        <v>75</v>
      </c>
      <c r="C56" s="14">
        <f>330.6+224+35</f>
        <v>589.6</v>
      </c>
      <c r="D56" s="10">
        <f t="shared" ref="D56:H56" si="109">C56/C5</f>
        <v>1.0735662355407234E-3</v>
      </c>
      <c r="E56" s="14">
        <f>95+124+101</f>
        <v>320</v>
      </c>
      <c r="F56" s="10">
        <f t="shared" si="109"/>
        <v>1.923448088450241E-3</v>
      </c>
      <c r="G56" s="14">
        <f>163+138</f>
        <v>301</v>
      </c>
      <c r="H56" s="10">
        <f t="shared" si="109"/>
        <v>1.4061246867285002E-3</v>
      </c>
      <c r="I56" s="14">
        <f>170+140</f>
        <v>310</v>
      </c>
      <c r="J56" s="10">
        <f t="shared" ref="J56:N56" si="110">I56/I5</f>
        <v>1.567674748957117E-3</v>
      </c>
      <c r="K56" s="14">
        <f>390+122+90+100</f>
        <v>702</v>
      </c>
      <c r="L56" s="10">
        <f t="shared" si="110"/>
        <v>2.7322352264596821E-3</v>
      </c>
      <c r="M56" s="14">
        <f>278+54+630.7+200+320+300</f>
        <v>1782.7</v>
      </c>
      <c r="N56" s="10">
        <f t="shared" si="110"/>
        <v>5.9515185102341278E-3</v>
      </c>
      <c r="O56" s="20">
        <f>742.1+708.2+362+100</f>
        <v>1912.3000000000002</v>
      </c>
      <c r="P56" s="21">
        <f t="shared" ref="P56:T56" si="111">O56/O5</f>
        <v>4.2931369055384389E-3</v>
      </c>
      <c r="Q56" s="20">
        <f>610.5+1092.8+374.9+100</f>
        <v>2178.1999999999998</v>
      </c>
      <c r="R56" s="21">
        <f t="shared" si="111"/>
        <v>4.4745733938398417E-3</v>
      </c>
      <c r="S56" s="20">
        <f>580.9+103+100</f>
        <v>783.9</v>
      </c>
      <c r="T56" s="21">
        <f t="shared" si="111"/>
        <v>1.8703097313081403E-3</v>
      </c>
      <c r="U56" s="20">
        <f>245+100</f>
        <v>345</v>
      </c>
      <c r="V56" s="21" t="e">
        <f t="shared" ref="V56:Z56" si="112">U56/U5</f>
        <v>#DIV/0!</v>
      </c>
      <c r="W56" s="20">
        <f>139+308</f>
        <v>447</v>
      </c>
      <c r="X56" s="21">
        <f t="shared" si="112"/>
        <v>1.0965844338735669E-3</v>
      </c>
      <c r="Y56" s="20">
        <f>57.5+213</f>
        <v>270.5</v>
      </c>
      <c r="Z56" s="25">
        <f t="shared" si="112"/>
        <v>6.3242781204759786E-4</v>
      </c>
      <c r="AA56" s="17">
        <f t="shared" si="0"/>
        <v>9942.2000000000007</v>
      </c>
    </row>
    <row r="57" spans="1:27" ht="27.95" customHeight="1" x14ac:dyDescent="0.15">
      <c r="A57" s="34"/>
      <c r="B57" s="11" t="s">
        <v>76</v>
      </c>
      <c r="C57" s="14">
        <f>4053/14</f>
        <v>289.5</v>
      </c>
      <c r="D57" s="10">
        <f t="shared" ref="D57:H57" si="113">C57/C5</f>
        <v>5.2713267501533153E-4</v>
      </c>
      <c r="E57" s="14">
        <f>1318.6/14</f>
        <v>94.185714285714283</v>
      </c>
      <c r="F57" s="10">
        <f t="shared" si="113"/>
        <v>5.6612916281930531E-4</v>
      </c>
      <c r="G57" s="9"/>
      <c r="H57" s="10">
        <f t="shared" si="113"/>
        <v>0</v>
      </c>
      <c r="I57" s="14">
        <f>2491.87/14+100</f>
        <v>277.99071428571426</v>
      </c>
      <c r="J57" s="10">
        <f t="shared" ref="J57:N57" si="114">I57/I5</f>
        <v>1.4058033007427959E-3</v>
      </c>
      <c r="K57" s="9"/>
      <c r="L57" s="10">
        <f t="shared" si="114"/>
        <v>0</v>
      </c>
      <c r="M57" s="9"/>
      <c r="N57" s="10">
        <f t="shared" si="114"/>
        <v>0</v>
      </c>
      <c r="O57" s="16"/>
      <c r="P57" s="21">
        <f t="shared" ref="P57:T57" si="115">O57/O5</f>
        <v>0</v>
      </c>
      <c r="Q57" s="16"/>
      <c r="R57" s="21">
        <f t="shared" si="115"/>
        <v>0</v>
      </c>
      <c r="S57" s="16"/>
      <c r="T57" s="21">
        <f t="shared" si="115"/>
        <v>0</v>
      </c>
      <c r="U57" s="20">
        <f>4349.29/15</f>
        <v>289.95266666666669</v>
      </c>
      <c r="V57" s="21" t="e">
        <f t="shared" ref="V57:Z57" si="116">U57/U5</f>
        <v>#DIV/0!</v>
      </c>
      <c r="W57" s="16"/>
      <c r="X57" s="21">
        <f t="shared" si="116"/>
        <v>0</v>
      </c>
      <c r="Y57" s="16"/>
      <c r="Z57" s="25">
        <f t="shared" si="116"/>
        <v>0</v>
      </c>
      <c r="AA57" s="17">
        <f t="shared" si="0"/>
        <v>951.62909523809526</v>
      </c>
    </row>
    <row r="58" spans="1:27" ht="27.95" customHeight="1" x14ac:dyDescent="0.15">
      <c r="A58" s="34"/>
      <c r="B58" s="11" t="s">
        <v>45</v>
      </c>
      <c r="C58" s="9"/>
      <c r="D58" s="10">
        <f t="shared" ref="D58:H58" si="117">C58/C5</f>
        <v>0</v>
      </c>
      <c r="E58" s="9"/>
      <c r="F58" s="10">
        <f t="shared" si="117"/>
        <v>0</v>
      </c>
      <c r="G58" s="14">
        <v>1600</v>
      </c>
      <c r="H58" s="10">
        <f t="shared" si="117"/>
        <v>7.4744169394205988E-3</v>
      </c>
      <c r="I58" s="14">
        <v>0</v>
      </c>
      <c r="J58" s="10">
        <f t="shared" ref="J58:N58" si="118">I58/I5</f>
        <v>0</v>
      </c>
      <c r="K58" s="14">
        <v>1600</v>
      </c>
      <c r="L58" s="10">
        <f t="shared" si="118"/>
        <v>6.2273167554636631E-3</v>
      </c>
      <c r="M58" s="9"/>
      <c r="N58" s="10">
        <f t="shared" si="118"/>
        <v>0</v>
      </c>
      <c r="O58" s="20">
        <v>2000</v>
      </c>
      <c r="P58" s="21">
        <f t="shared" ref="P58:T58" si="119">O58/O5</f>
        <v>4.4900244789399558E-3</v>
      </c>
      <c r="Q58" s="20">
        <v>300</v>
      </c>
      <c r="R58" s="21">
        <f t="shared" si="119"/>
        <v>6.1627583240838886E-4</v>
      </c>
      <c r="S58" s="16"/>
      <c r="T58" s="21">
        <f t="shared" si="119"/>
        <v>0</v>
      </c>
      <c r="U58" s="20">
        <f>2200+2200+2300+300+2000</f>
        <v>9000</v>
      </c>
      <c r="V58" s="21" t="e">
        <f t="shared" ref="V58:Z58" si="120">U58/U5</f>
        <v>#DIV/0!</v>
      </c>
      <c r="W58" s="16"/>
      <c r="X58" s="21">
        <f t="shared" si="120"/>
        <v>0</v>
      </c>
      <c r="Y58" s="16"/>
      <c r="Z58" s="25">
        <f t="shared" si="120"/>
        <v>0</v>
      </c>
      <c r="AA58" s="17">
        <f t="shared" si="0"/>
        <v>14500</v>
      </c>
    </row>
    <row r="59" spans="1:27" ht="27.95" customHeight="1" x14ac:dyDescent="0.15">
      <c r="A59" s="37" t="s">
        <v>77</v>
      </c>
      <c r="B59" s="37"/>
      <c r="C59" s="12">
        <f t="shared" ref="C59:Z59" si="121">SUM(C52:C58)</f>
        <v>2122.957142857143</v>
      </c>
      <c r="D59" s="13">
        <f t="shared" si="121"/>
        <v>3.8655615808538546E-3</v>
      </c>
      <c r="E59" s="12">
        <f t="shared" si="121"/>
        <v>414.18571428571431</v>
      </c>
      <c r="F59" s="13">
        <f t="shared" si="121"/>
        <v>2.4895772512695462E-3</v>
      </c>
      <c r="G59" s="12">
        <f t="shared" si="121"/>
        <v>1933.1428571428571</v>
      </c>
      <c r="H59" s="13">
        <f t="shared" si="121"/>
        <v>9.0306973235928165E-3</v>
      </c>
      <c r="I59" s="12">
        <f t="shared" si="121"/>
        <v>2057.9907142857141</v>
      </c>
      <c r="J59" s="13">
        <f t="shared" si="121"/>
        <v>1.0407290568948178E-2</v>
      </c>
      <c r="K59" s="12">
        <f t="shared" si="121"/>
        <v>3369.8571428571431</v>
      </c>
      <c r="L59" s="13">
        <f t="shared" si="121"/>
        <v>1.3115729905770746E-2</v>
      </c>
      <c r="M59" s="12">
        <f t="shared" si="121"/>
        <v>1782.7</v>
      </c>
      <c r="N59" s="13">
        <f t="shared" si="121"/>
        <v>5.9515185102341278E-3</v>
      </c>
      <c r="O59" s="18">
        <f t="shared" si="121"/>
        <v>3912.3</v>
      </c>
      <c r="P59" s="22">
        <f t="shared" si="121"/>
        <v>8.7831613844783947E-3</v>
      </c>
      <c r="Q59" s="18">
        <f t="shared" si="121"/>
        <v>4634.6705882352944</v>
      </c>
      <c r="R59" s="22">
        <f t="shared" si="121"/>
        <v>9.5207849156779441E-3</v>
      </c>
      <c r="S59" s="18">
        <f t="shared" si="121"/>
        <v>803.9</v>
      </c>
      <c r="T59" s="22">
        <f t="shared" si="121"/>
        <v>1.9180278007381222E-3</v>
      </c>
      <c r="U59" s="18">
        <f t="shared" si="121"/>
        <v>15481.702666666668</v>
      </c>
      <c r="V59" s="22" t="e">
        <f t="shared" si="121"/>
        <v>#DIV/0!</v>
      </c>
      <c r="W59" s="18">
        <f t="shared" si="121"/>
        <v>608.875</v>
      </c>
      <c r="X59" s="22">
        <f t="shared" si="121"/>
        <v>1.493697644686282E-3</v>
      </c>
      <c r="Y59" s="18">
        <f t="shared" si="121"/>
        <v>381.61111111111109</v>
      </c>
      <c r="Z59" s="26">
        <f t="shared" si="121"/>
        <v>8.9220510185971454E-4</v>
      </c>
      <c r="AA59" s="17">
        <f t="shared" si="0"/>
        <v>37503.892937441648</v>
      </c>
    </row>
    <row r="60" spans="1:27" ht="27.95" customHeight="1" x14ac:dyDescent="0.15">
      <c r="A60" s="38" t="s">
        <v>78</v>
      </c>
      <c r="B60" s="11" t="s">
        <v>79</v>
      </c>
      <c r="C60" s="14">
        <v>129612.47</v>
      </c>
      <c r="D60" s="10">
        <f t="shared" ref="D60:H60" si="122">C60/C5</f>
        <v>0.23600334378737273</v>
      </c>
      <c r="E60" s="14">
        <v>33722.83</v>
      </c>
      <c r="F60" s="10">
        <f t="shared" si="122"/>
        <v>0.2027003528144764</v>
      </c>
      <c r="G60" s="14">
        <v>51619.05</v>
      </c>
      <c r="H60" s="10">
        <f t="shared" si="122"/>
        <v>0.24113893857299928</v>
      </c>
      <c r="I60" s="14">
        <v>48833.82</v>
      </c>
      <c r="J60" s="10">
        <f t="shared" ref="J60:N60" si="123">I60/I5</f>
        <v>0.24695337583586141</v>
      </c>
      <c r="K60" s="14">
        <v>63696.9</v>
      </c>
      <c r="L60" s="10">
        <f t="shared" si="123"/>
        <v>0.24791298290068339</v>
      </c>
      <c r="M60" s="14">
        <v>79251.539999999994</v>
      </c>
      <c r="N60" s="10">
        <f t="shared" si="123"/>
        <v>0.26458013534221148</v>
      </c>
      <c r="O60" s="20">
        <v>114247.16</v>
      </c>
      <c r="P60" s="21">
        <f t="shared" ref="P60:T60" si="124">O60/O5</f>
        <v>0.25648627252468487</v>
      </c>
      <c r="Q60" s="20">
        <v>119135.71</v>
      </c>
      <c r="R60" s="21">
        <f t="shared" si="124"/>
        <v>0.24473486283271476</v>
      </c>
      <c r="S60" s="20">
        <v>97506.559999999998</v>
      </c>
      <c r="T60" s="21">
        <f t="shared" si="124"/>
        <v>0.23264123999793476</v>
      </c>
      <c r="U60" s="20">
        <v>114807.2</v>
      </c>
      <c r="V60" s="21" t="e">
        <f t="shared" ref="V60:Z60" si="125">U60/U5</f>
        <v>#DIV/0!</v>
      </c>
      <c r="W60" s="20">
        <v>102748.15</v>
      </c>
      <c r="X60" s="21">
        <f t="shared" si="125"/>
        <v>0.25206268881276583</v>
      </c>
      <c r="Y60" s="20">
        <v>111280.21</v>
      </c>
      <c r="Z60" s="25">
        <f t="shared" si="125"/>
        <v>0.26017264227170878</v>
      </c>
      <c r="AA60" s="17">
        <f t="shared" si="0"/>
        <v>1066461.6000000001</v>
      </c>
    </row>
    <row r="61" spans="1:27" ht="27.95" customHeight="1" x14ac:dyDescent="0.15">
      <c r="A61" s="40"/>
      <c r="B61" s="11" t="s">
        <v>80</v>
      </c>
      <c r="C61" s="14">
        <f>60+180</f>
        <v>240</v>
      </c>
      <c r="D61" s="10">
        <f t="shared" ref="D61:H61" si="126">C61/C5</f>
        <v>4.370011813598603E-4</v>
      </c>
      <c r="E61" s="9"/>
      <c r="F61" s="10">
        <f t="shared" si="126"/>
        <v>0</v>
      </c>
      <c r="G61" s="9"/>
      <c r="H61" s="10">
        <f t="shared" si="126"/>
        <v>0</v>
      </c>
      <c r="I61" s="9"/>
      <c r="J61" s="10">
        <f t="shared" ref="J61:N61" si="127">I61/I5</f>
        <v>0</v>
      </c>
      <c r="K61" s="14">
        <v>152.6</v>
      </c>
      <c r="L61" s="10">
        <f t="shared" si="127"/>
        <v>5.9393033555234687E-4</v>
      </c>
      <c r="M61" s="9"/>
      <c r="N61" s="10">
        <f t="shared" si="127"/>
        <v>0</v>
      </c>
      <c r="O61" s="16"/>
      <c r="P61" s="21">
        <f t="shared" ref="P61:T61" si="128">O61/O5</f>
        <v>0</v>
      </c>
      <c r="Q61" s="16"/>
      <c r="R61" s="21">
        <f t="shared" si="128"/>
        <v>0</v>
      </c>
      <c r="S61" s="16"/>
      <c r="T61" s="21">
        <f t="shared" si="128"/>
        <v>0</v>
      </c>
      <c r="U61" s="16"/>
      <c r="V61" s="21" t="e">
        <f t="shared" ref="V61:Z61" si="129">U61/U5</f>
        <v>#DIV/0!</v>
      </c>
      <c r="W61" s="16"/>
      <c r="X61" s="21">
        <f t="shared" si="129"/>
        <v>0</v>
      </c>
      <c r="Y61" s="16"/>
      <c r="Z61" s="25">
        <f t="shared" si="129"/>
        <v>0</v>
      </c>
      <c r="AA61" s="17">
        <f t="shared" si="0"/>
        <v>392.6</v>
      </c>
    </row>
    <row r="62" spans="1:27" ht="27.95" customHeight="1" x14ac:dyDescent="0.15">
      <c r="A62" s="40"/>
      <c r="B62" s="11" t="s">
        <v>81</v>
      </c>
      <c r="C62" s="14"/>
      <c r="D62" s="10"/>
      <c r="E62" s="14"/>
      <c r="F62" s="10"/>
      <c r="G62" s="14"/>
      <c r="H62" s="10"/>
      <c r="I62" s="14"/>
      <c r="J62" s="10"/>
      <c r="K62" s="14"/>
      <c r="L62" s="10"/>
      <c r="M62" s="14"/>
      <c r="N62" s="10"/>
      <c r="O62" s="20"/>
      <c r="P62" s="21"/>
      <c r="Q62" s="20"/>
      <c r="R62" s="21"/>
      <c r="S62" s="20"/>
      <c r="T62" s="21"/>
      <c r="U62" s="20"/>
      <c r="V62" s="21"/>
      <c r="W62" s="20"/>
      <c r="X62" s="21"/>
      <c r="Y62" s="20"/>
      <c r="Z62" s="25">
        <f>Y62/Y5</f>
        <v>0</v>
      </c>
      <c r="AA62" s="17">
        <f t="shared" si="0"/>
        <v>0</v>
      </c>
    </row>
    <row r="63" spans="1:27" ht="27.95" customHeight="1" x14ac:dyDescent="0.15">
      <c r="A63" s="40"/>
      <c r="B63" s="11" t="s">
        <v>82</v>
      </c>
      <c r="C63" s="14"/>
      <c r="D63" s="10"/>
      <c r="E63" s="9"/>
      <c r="F63" s="10"/>
      <c r="G63" s="14"/>
      <c r="H63" s="10"/>
      <c r="I63" s="14"/>
      <c r="J63" s="10"/>
      <c r="K63" s="14"/>
      <c r="L63" s="10"/>
      <c r="M63" s="14"/>
      <c r="N63" s="10"/>
      <c r="O63" s="20"/>
      <c r="P63" s="21"/>
      <c r="Q63" s="20"/>
      <c r="R63" s="21"/>
      <c r="S63" s="20"/>
      <c r="T63" s="21"/>
      <c r="U63" s="20"/>
      <c r="V63" s="21"/>
      <c r="W63" s="20"/>
      <c r="X63" s="21"/>
      <c r="Y63" s="20"/>
      <c r="Z63" s="25">
        <f>Y63/Y5</f>
        <v>0</v>
      </c>
      <c r="AA63" s="17">
        <f t="shared" si="0"/>
        <v>0</v>
      </c>
    </row>
    <row r="64" spans="1:27" ht="27.95" customHeight="1" x14ac:dyDescent="0.15">
      <c r="A64" s="40"/>
      <c r="B64" s="11" t="s">
        <v>83</v>
      </c>
      <c r="C64" s="14">
        <v>1675</v>
      </c>
      <c r="D64" s="10">
        <f t="shared" ref="D64:H64" si="130">C64/C5</f>
        <v>3.0499040782406917E-3</v>
      </c>
      <c r="E64" s="9"/>
      <c r="F64" s="10">
        <f t="shared" si="130"/>
        <v>0</v>
      </c>
      <c r="G64" s="9"/>
      <c r="H64" s="10">
        <f t="shared" si="130"/>
        <v>0</v>
      </c>
      <c r="I64" s="9"/>
      <c r="J64" s="10">
        <f t="shared" ref="J64:N64" si="131">I64/I5</f>
        <v>0</v>
      </c>
      <c r="K64" s="9"/>
      <c r="L64" s="10">
        <f t="shared" si="131"/>
        <v>0</v>
      </c>
      <c r="M64" s="9"/>
      <c r="N64" s="10">
        <f t="shared" si="131"/>
        <v>0</v>
      </c>
      <c r="O64" s="16"/>
      <c r="P64" s="21">
        <f t="shared" ref="P64:T64" si="132">O64/O5</f>
        <v>0</v>
      </c>
      <c r="Q64" s="16"/>
      <c r="R64" s="21">
        <f t="shared" si="132"/>
        <v>0</v>
      </c>
      <c r="S64" s="16"/>
      <c r="T64" s="21">
        <f t="shared" si="132"/>
        <v>0</v>
      </c>
      <c r="U64" s="16"/>
      <c r="V64" s="21" t="e">
        <f t="shared" ref="V64:Z64" si="133">U64/U5</f>
        <v>#DIV/0!</v>
      </c>
      <c r="W64" s="16"/>
      <c r="X64" s="21">
        <f t="shared" si="133"/>
        <v>0</v>
      </c>
      <c r="Y64" s="16"/>
      <c r="Z64" s="25">
        <f t="shared" si="133"/>
        <v>0</v>
      </c>
      <c r="AA64" s="17">
        <f t="shared" si="0"/>
        <v>1675</v>
      </c>
    </row>
    <row r="65" spans="1:31" ht="27.95" customHeight="1" x14ac:dyDescent="0.15">
      <c r="A65" s="40"/>
      <c r="B65" s="11" t="s">
        <v>84</v>
      </c>
      <c r="C65" s="14">
        <f>85+3278</f>
        <v>3363</v>
      </c>
      <c r="D65" s="10">
        <f t="shared" ref="D65:H65" si="134">C65/C5</f>
        <v>6.1234790538050423E-3</v>
      </c>
      <c r="E65" s="14">
        <v>1202.5</v>
      </c>
      <c r="F65" s="10">
        <f t="shared" si="134"/>
        <v>7.227957269879421E-3</v>
      </c>
      <c r="G65" s="14">
        <v>1391</v>
      </c>
      <c r="H65" s="10">
        <f t="shared" si="134"/>
        <v>6.4980712267087831E-3</v>
      </c>
      <c r="I65" s="14">
        <f>10+1280.5</f>
        <v>1290.5</v>
      </c>
      <c r="J65" s="10">
        <f t="shared" ref="J65:N65" si="135">I65/I5</f>
        <v>6.5260782694489018E-3</v>
      </c>
      <c r="K65" s="14">
        <f>49+2015</f>
        <v>2064</v>
      </c>
      <c r="L65" s="10">
        <f t="shared" si="135"/>
        <v>8.0332386145481258E-3</v>
      </c>
      <c r="M65" s="14">
        <f>5+2450.5</f>
        <v>2455.5</v>
      </c>
      <c r="N65" s="10">
        <f t="shared" si="135"/>
        <v>8.1976517091377696E-3</v>
      </c>
      <c r="O65" s="20">
        <v>3373.5</v>
      </c>
      <c r="P65" s="21">
        <f>O65/O5</f>
        <v>7.5735487898519697E-3</v>
      </c>
      <c r="Q65" s="20">
        <v>3432</v>
      </c>
      <c r="R65" s="21">
        <f>Q65/Q5</f>
        <v>7.0501955227519689E-3</v>
      </c>
      <c r="S65" s="31">
        <f>2379+1129.3+900</f>
        <v>4408.3</v>
      </c>
      <c r="T65" s="21">
        <f>S66/S5</f>
        <v>2.0883097314990128E-2</v>
      </c>
      <c r="U65" s="20">
        <f>26+1572</f>
        <v>1598</v>
      </c>
      <c r="V65" s="21" t="e">
        <f t="shared" ref="V65:Z65" si="136">U65/U5</f>
        <v>#DIV/0!</v>
      </c>
      <c r="W65" s="20">
        <f>743+1750.5</f>
        <v>2493.5</v>
      </c>
      <c r="X65" s="21">
        <f t="shared" si="136"/>
        <v>6.1170767021560156E-3</v>
      </c>
      <c r="Y65" s="20">
        <f>537+2108.66</f>
        <v>2645.66</v>
      </c>
      <c r="Z65" s="25">
        <f t="shared" si="136"/>
        <v>6.1855414610789191E-3</v>
      </c>
      <c r="AA65" s="17">
        <f t="shared" si="0"/>
        <v>29717.46</v>
      </c>
    </row>
    <row r="66" spans="1:31" ht="27.95" customHeight="1" x14ac:dyDescent="0.15">
      <c r="A66" s="40"/>
      <c r="B66" s="11" t="s">
        <v>85</v>
      </c>
      <c r="C66" s="14">
        <f>832.5+2047.5+1800</f>
        <v>4680</v>
      </c>
      <c r="D66" s="10">
        <f t="shared" ref="D66:H66" si="137">C66/C5</f>
        <v>8.5215230365172749E-3</v>
      </c>
      <c r="E66" s="14">
        <f>586+490+55</f>
        <v>1131</v>
      </c>
      <c r="F66" s="10">
        <f t="shared" si="137"/>
        <v>6.7981868376163204E-3</v>
      </c>
      <c r="G66" s="14">
        <f>712.8+805</f>
        <v>1517.8</v>
      </c>
      <c r="H66" s="10">
        <f t="shared" si="137"/>
        <v>7.0904187691578652E-3</v>
      </c>
      <c r="I66" s="14">
        <f>1945.6+1267</f>
        <v>3212.6</v>
      </c>
      <c r="J66" s="10">
        <f t="shared" ref="J66:N66" si="138">I66/I5</f>
        <v>1.6246167414514949E-2</v>
      </c>
      <c r="K66" s="14">
        <f>2168.1+1819.6</f>
        <v>3987.7</v>
      </c>
      <c r="L66" s="10">
        <f t="shared" si="138"/>
        <v>1.552041939110153E-2</v>
      </c>
      <c r="M66" s="14">
        <f>3036.4+2343</f>
        <v>5379.4</v>
      </c>
      <c r="N66" s="10">
        <f t="shared" si="138"/>
        <v>1.79590501340402E-2</v>
      </c>
      <c r="O66" s="20">
        <f>3952+5961.3</f>
        <v>9913.2999999999993</v>
      </c>
      <c r="P66" s="21">
        <f t="shared" ref="P66:T66" si="139">O66/O5</f>
        <v>2.225547983353773E-2</v>
      </c>
      <c r="Q66" s="20">
        <f>4913.4+3432</f>
        <v>8345.4</v>
      </c>
      <c r="R66" s="21">
        <f t="shared" si="139"/>
        <v>1.714356110593656E-2</v>
      </c>
      <c r="S66" s="20">
        <f>5044+3708.7</f>
        <v>8752.7000000000007</v>
      </c>
      <c r="T66" s="21">
        <f t="shared" si="139"/>
        <v>2.0883097314990128E-2</v>
      </c>
      <c r="U66" s="20">
        <f>4631+5535.8</f>
        <v>10166.799999999999</v>
      </c>
      <c r="V66" s="21" t="e">
        <f t="shared" ref="V66:Z66" si="140">U66/U5</f>
        <v>#DIV/0!</v>
      </c>
      <c r="W66" s="20">
        <f>4300.8+4224.2</f>
        <v>8525</v>
      </c>
      <c r="X66" s="21">
        <f t="shared" si="140"/>
        <v>2.0913606932376191E-2</v>
      </c>
      <c r="Y66" s="20">
        <f>3700.2+4170</f>
        <v>7870.2</v>
      </c>
      <c r="Z66" s="25">
        <f t="shared" si="140"/>
        <v>1.8400493036513879E-2</v>
      </c>
      <c r="AA66" s="17">
        <f t="shared" si="0"/>
        <v>73481.899999999994</v>
      </c>
    </row>
    <row r="67" spans="1:31" ht="27.95" customHeight="1" x14ac:dyDescent="0.15">
      <c r="A67" s="40"/>
      <c r="B67" s="11" t="s">
        <v>86</v>
      </c>
      <c r="C67" s="14">
        <v>2760</v>
      </c>
      <c r="D67" s="10">
        <f t="shared" ref="D67:H67" si="141">C67/C5</f>
        <v>5.0255135856383934E-3</v>
      </c>
      <c r="E67" s="14">
        <v>1510</v>
      </c>
      <c r="F67" s="10">
        <f t="shared" si="141"/>
        <v>9.0762706673745749E-3</v>
      </c>
      <c r="G67" s="14">
        <v>2210</v>
      </c>
      <c r="H67" s="10">
        <f t="shared" si="141"/>
        <v>1.0324038397574701E-2</v>
      </c>
      <c r="I67" s="14">
        <v>1630</v>
      </c>
      <c r="J67" s="10">
        <f t="shared" ref="J67:N67" si="142">I67/I5</f>
        <v>8.2429349703229057E-3</v>
      </c>
      <c r="K67" s="14">
        <v>1500</v>
      </c>
      <c r="L67" s="10">
        <f t="shared" si="142"/>
        <v>5.8381094582471843E-3</v>
      </c>
      <c r="M67" s="14">
        <v>1880</v>
      </c>
      <c r="N67" s="10">
        <f t="shared" si="142"/>
        <v>6.2763531717283678E-3</v>
      </c>
      <c r="O67" s="20">
        <v>2500</v>
      </c>
      <c r="P67" s="21">
        <f t="shared" ref="P67:T67" si="143">O67/O5</f>
        <v>5.6125305986749448E-3</v>
      </c>
      <c r="Q67" s="20">
        <v>2570</v>
      </c>
      <c r="R67" s="21">
        <f t="shared" si="143"/>
        <v>5.279429630965198E-3</v>
      </c>
      <c r="S67" s="20">
        <v>2370</v>
      </c>
      <c r="T67" s="21">
        <f t="shared" si="143"/>
        <v>5.6545912274528539E-3</v>
      </c>
      <c r="U67" s="20">
        <v>2610</v>
      </c>
      <c r="V67" s="21" t="e">
        <f t="shared" ref="V67:Z67" si="144">U67/U5</f>
        <v>#DIV/0!</v>
      </c>
      <c r="W67" s="20">
        <v>2130</v>
      </c>
      <c r="X67" s="21">
        <f t="shared" si="144"/>
        <v>5.2253352218136406E-3</v>
      </c>
      <c r="Y67" s="20">
        <v>2280</v>
      </c>
      <c r="Z67" s="25">
        <f t="shared" si="144"/>
        <v>5.3306299869446327E-3</v>
      </c>
      <c r="AA67" s="17">
        <f t="shared" si="0"/>
        <v>25950</v>
      </c>
    </row>
    <row r="68" spans="1:31" ht="27.95" customHeight="1" x14ac:dyDescent="0.15">
      <c r="A68" s="40"/>
      <c r="B68" s="11" t="s">
        <v>87</v>
      </c>
      <c r="C68" s="9"/>
      <c r="D68" s="10">
        <f t="shared" ref="D68:H68" si="145">C68/C5</f>
        <v>0</v>
      </c>
      <c r="E68" s="9"/>
      <c r="F68" s="10">
        <f t="shared" si="145"/>
        <v>0</v>
      </c>
      <c r="G68" s="9"/>
      <c r="H68" s="10">
        <f t="shared" si="145"/>
        <v>0</v>
      </c>
      <c r="I68" s="14">
        <v>0</v>
      </c>
      <c r="J68" s="10">
        <f t="shared" ref="J68:N68" si="146">I68/I5</f>
        <v>0</v>
      </c>
      <c r="K68" s="9"/>
      <c r="L68" s="10">
        <f t="shared" si="146"/>
        <v>0</v>
      </c>
      <c r="M68" s="9"/>
      <c r="N68" s="10">
        <f t="shared" si="146"/>
        <v>0</v>
      </c>
      <c r="O68" s="16"/>
      <c r="P68" s="21">
        <f t="shared" ref="P68:T68" si="147">O68/O5</f>
        <v>0</v>
      </c>
      <c r="Q68" s="16"/>
      <c r="R68" s="21">
        <f t="shared" si="147"/>
        <v>0</v>
      </c>
      <c r="S68" s="16"/>
      <c r="T68" s="21">
        <f t="shared" si="147"/>
        <v>0</v>
      </c>
      <c r="U68" s="16"/>
      <c r="V68" s="21" t="e">
        <f t="shared" ref="V68:Z68" si="148">U68/U5</f>
        <v>#DIV/0!</v>
      </c>
      <c r="W68" s="16"/>
      <c r="X68" s="21">
        <f t="shared" si="148"/>
        <v>0</v>
      </c>
      <c r="Y68" s="16"/>
      <c r="Z68" s="25">
        <f t="shared" si="148"/>
        <v>0</v>
      </c>
      <c r="AA68" s="17">
        <f t="shared" ref="AA68:AA80" si="149">C68+E68+G68+I68+K68+M68+O68+Q68+S68+U68+W68+Y68</f>
        <v>0</v>
      </c>
    </row>
    <row r="69" spans="1:31" ht="27.95" customHeight="1" x14ac:dyDescent="0.15">
      <c r="A69" s="40"/>
      <c r="B69" s="11" t="s">
        <v>88</v>
      </c>
      <c r="C69" s="9"/>
      <c r="D69" s="10"/>
      <c r="E69" s="9"/>
      <c r="F69" s="10"/>
      <c r="G69" s="9"/>
      <c r="H69" s="10"/>
      <c r="I69" s="14"/>
      <c r="J69" s="10"/>
      <c r="K69" s="9"/>
      <c r="L69" s="10"/>
      <c r="M69" s="14"/>
      <c r="N69" s="10"/>
      <c r="O69" s="20"/>
      <c r="P69" s="21"/>
      <c r="Q69" s="20"/>
      <c r="R69" s="21"/>
      <c r="S69" s="20"/>
      <c r="T69" s="21"/>
      <c r="U69" s="20"/>
      <c r="V69" s="21"/>
      <c r="W69" s="20"/>
      <c r="X69" s="21"/>
      <c r="Y69" s="20"/>
      <c r="Z69" s="25">
        <f>Y69/Y5</f>
        <v>0</v>
      </c>
      <c r="AA69" s="17">
        <f t="shared" si="149"/>
        <v>0</v>
      </c>
    </row>
    <row r="70" spans="1:31" ht="27.95" customHeight="1" x14ac:dyDescent="0.15">
      <c r="A70" s="40"/>
      <c r="B70" s="11" t="s">
        <v>89</v>
      </c>
      <c r="C70" s="14"/>
      <c r="D70" s="10"/>
      <c r="E70" s="14"/>
      <c r="F70" s="10"/>
      <c r="G70" s="14"/>
      <c r="H70" s="10"/>
      <c r="I70" s="14"/>
      <c r="J70" s="10"/>
      <c r="K70" s="14"/>
      <c r="L70" s="10"/>
      <c r="M70" s="14"/>
      <c r="N70" s="10"/>
      <c r="O70" s="20"/>
      <c r="P70" s="21"/>
      <c r="Q70" s="20"/>
      <c r="R70" s="21"/>
      <c r="S70" s="20"/>
      <c r="T70" s="21"/>
      <c r="U70" s="20"/>
      <c r="V70" s="21"/>
      <c r="W70" s="20"/>
      <c r="X70" s="21"/>
      <c r="Y70" s="20"/>
      <c r="Z70" s="25">
        <f t="shared" ref="Z70" si="150">Z11</f>
        <v>5.8649321233114997E-2</v>
      </c>
      <c r="AA70" s="17">
        <f t="shared" si="149"/>
        <v>0</v>
      </c>
    </row>
    <row r="71" spans="1:31" ht="27.95" customHeight="1" x14ac:dyDescent="0.15">
      <c r="A71" s="39"/>
      <c r="B71" s="11" t="s">
        <v>45</v>
      </c>
      <c r="C71" s="14">
        <v>110</v>
      </c>
      <c r="D71" s="10">
        <f t="shared" ref="D71:H71" si="151">C71/C5</f>
        <v>2.002922081232693E-4</v>
      </c>
      <c r="E71" s="9"/>
      <c r="F71" s="10">
        <f t="shared" si="151"/>
        <v>0</v>
      </c>
      <c r="G71" s="9"/>
      <c r="H71" s="10">
        <f t="shared" si="151"/>
        <v>0</v>
      </c>
      <c r="I71" s="9"/>
      <c r="J71" s="10">
        <f t="shared" ref="J71:N71" si="152">I71/I5</f>
        <v>0</v>
      </c>
      <c r="K71" s="9"/>
      <c r="L71" s="10">
        <f t="shared" si="152"/>
        <v>0</v>
      </c>
      <c r="M71" s="9"/>
      <c r="N71" s="10">
        <f t="shared" si="152"/>
        <v>0</v>
      </c>
      <c r="O71" s="16"/>
      <c r="P71" s="21">
        <f t="shared" ref="P71:T71" si="153">O71/O5</f>
        <v>0</v>
      </c>
      <c r="Q71" s="16"/>
      <c r="R71" s="21">
        <f t="shared" si="153"/>
        <v>0</v>
      </c>
      <c r="S71" s="16"/>
      <c r="T71" s="21">
        <f t="shared" si="153"/>
        <v>0</v>
      </c>
      <c r="U71" s="16"/>
      <c r="V71" s="21" t="e">
        <f t="shared" ref="V71:Z71" si="154">U71/U5</f>
        <v>#DIV/0!</v>
      </c>
      <c r="W71" s="16"/>
      <c r="X71" s="21">
        <f t="shared" si="154"/>
        <v>0</v>
      </c>
      <c r="Y71" s="16"/>
      <c r="Z71" s="25">
        <f t="shared" si="154"/>
        <v>0</v>
      </c>
      <c r="AA71" s="17">
        <f t="shared" si="149"/>
        <v>110</v>
      </c>
    </row>
    <row r="72" spans="1:31" ht="27.95" customHeight="1" x14ac:dyDescent="0.15">
      <c r="A72" s="37" t="s">
        <v>90</v>
      </c>
      <c r="B72" s="37"/>
      <c r="C72" s="12">
        <f t="shared" ref="C72:Z72" si="155">SUM(C60:C71)</f>
        <v>142440.47</v>
      </c>
      <c r="D72" s="13">
        <f t="shared" si="155"/>
        <v>0.25936105693105727</v>
      </c>
      <c r="E72" s="12">
        <f t="shared" si="155"/>
        <v>37566.33</v>
      </c>
      <c r="F72" s="13">
        <f t="shared" si="155"/>
        <v>0.22580276758934673</v>
      </c>
      <c r="G72" s="12">
        <f t="shared" si="155"/>
        <v>56737.850000000006</v>
      </c>
      <c r="H72" s="13">
        <f t="shared" si="155"/>
        <v>0.26505146696644061</v>
      </c>
      <c r="I72" s="12">
        <f t="shared" si="155"/>
        <v>54966.92</v>
      </c>
      <c r="J72" s="13">
        <f t="shared" si="155"/>
        <v>0.27796855649014818</v>
      </c>
      <c r="K72" s="12">
        <f t="shared" si="155"/>
        <v>71401.2</v>
      </c>
      <c r="L72" s="13">
        <f t="shared" si="155"/>
        <v>0.27789868070013263</v>
      </c>
      <c r="M72" s="12">
        <f t="shared" si="155"/>
        <v>88966.439999999988</v>
      </c>
      <c r="N72" s="13">
        <f t="shared" si="155"/>
        <v>0.29701319035711782</v>
      </c>
      <c r="O72" s="18">
        <f t="shared" si="155"/>
        <v>130033.96</v>
      </c>
      <c r="P72" s="22">
        <f t="shared" si="155"/>
        <v>0.29192783174674947</v>
      </c>
      <c r="Q72" s="18">
        <f t="shared" si="155"/>
        <v>133483.10999999999</v>
      </c>
      <c r="R72" s="22">
        <f t="shared" si="155"/>
        <v>0.27420804909236846</v>
      </c>
      <c r="S72" s="18">
        <f t="shared" si="155"/>
        <v>113037.56</v>
      </c>
      <c r="T72" s="22">
        <f t="shared" si="155"/>
        <v>0.28006202585536788</v>
      </c>
      <c r="U72" s="18">
        <f t="shared" si="155"/>
        <v>129182</v>
      </c>
      <c r="V72" s="22" t="e">
        <f t="shared" si="155"/>
        <v>#DIV/0!</v>
      </c>
      <c r="W72" s="18">
        <f t="shared" si="155"/>
        <v>115896.65</v>
      </c>
      <c r="X72" s="22">
        <f t="shared" si="155"/>
        <v>0.28431870766911166</v>
      </c>
      <c r="Y72" s="18">
        <f t="shared" si="155"/>
        <v>124076.07</v>
      </c>
      <c r="Z72" s="26">
        <f t="shared" si="155"/>
        <v>0.34873862798936117</v>
      </c>
      <c r="AA72" s="17">
        <f t="shared" si="149"/>
        <v>1197788.56</v>
      </c>
    </row>
    <row r="73" spans="1:31" ht="27.95" customHeight="1" x14ac:dyDescent="0.15">
      <c r="A73" s="34" t="s">
        <v>91</v>
      </c>
      <c r="B73" s="11" t="s">
        <v>92</v>
      </c>
      <c r="C73" s="14">
        <v>21107.19</v>
      </c>
      <c r="D73" s="10">
        <f t="shared" ref="D73:H73" si="156">C73/C5</f>
        <v>3.8432779021612622E-2</v>
      </c>
      <c r="E73" s="14">
        <v>421.05</v>
      </c>
      <c r="F73" s="10">
        <f t="shared" si="156"/>
        <v>2.530836930131169E-3</v>
      </c>
      <c r="G73" s="14">
        <v>784.39</v>
      </c>
      <c r="H73" s="10">
        <f t="shared" si="156"/>
        <v>3.6642861894450769E-3</v>
      </c>
      <c r="I73" s="14">
        <v>893.52</v>
      </c>
      <c r="J73" s="10">
        <f t="shared" ref="J73:N73" si="157">I73/I5</f>
        <v>4.5185443280263329E-3</v>
      </c>
      <c r="K73" s="14">
        <v>1416.04</v>
      </c>
      <c r="L73" s="10">
        <f t="shared" si="157"/>
        <v>5.5113310115042285E-3</v>
      </c>
      <c r="M73" s="14">
        <v>1113.58</v>
      </c>
      <c r="N73" s="10">
        <f t="shared" si="157"/>
        <v>3.7176709388155719E-3</v>
      </c>
      <c r="O73" s="20">
        <v>1693.88</v>
      </c>
      <c r="P73" s="21">
        <f t="shared" ref="P73:T73" si="158">O73/O5</f>
        <v>3.8027813321934063E-3</v>
      </c>
      <c r="Q73" s="20">
        <v>1159.3</v>
      </c>
      <c r="R73" s="21">
        <f t="shared" si="158"/>
        <v>2.381495241703484E-3</v>
      </c>
      <c r="S73" s="20">
        <v>772.62</v>
      </c>
      <c r="T73" s="21">
        <f t="shared" si="158"/>
        <v>1.8433967401496306E-3</v>
      </c>
      <c r="U73" s="20">
        <v>1117.78</v>
      </c>
      <c r="V73" s="21" t="e">
        <f t="shared" ref="V73:Z73" si="159">U73/U5</f>
        <v>#DIV/0!</v>
      </c>
      <c r="W73" s="20">
        <v>994.7</v>
      </c>
      <c r="X73" s="21">
        <f t="shared" si="159"/>
        <v>2.440207016496727E-3</v>
      </c>
      <c r="Y73" s="20">
        <f>987.88</f>
        <v>987.88</v>
      </c>
      <c r="Z73" s="25">
        <f t="shared" si="159"/>
        <v>2.3096591015363439E-3</v>
      </c>
      <c r="AA73" s="17">
        <f t="shared" si="149"/>
        <v>32461.929999999997</v>
      </c>
    </row>
    <row r="74" spans="1:31" ht="27.95" customHeight="1" x14ac:dyDescent="0.15">
      <c r="A74" s="34"/>
      <c r="B74" s="11" t="s">
        <v>93</v>
      </c>
      <c r="C74" s="9"/>
      <c r="D74" s="10">
        <f t="shared" ref="D74:H74" si="160">C74/C5</f>
        <v>0</v>
      </c>
      <c r="E74" s="14">
        <v>10700.07</v>
      </c>
      <c r="F74" s="10">
        <f t="shared" si="160"/>
        <v>6.4315716211824275E-2</v>
      </c>
      <c r="G74" s="14">
        <v>10710.56</v>
      </c>
      <c r="H74" s="10">
        <f t="shared" si="160"/>
        <v>5.0034494434175424E-2</v>
      </c>
      <c r="I74" s="14">
        <v>7239.39</v>
      </c>
      <c r="J74" s="10">
        <f t="shared" ref="J74:N74" si="161">I74/I5</f>
        <v>3.6609706131782785E-2</v>
      </c>
      <c r="K74" s="14">
        <v>10651.02</v>
      </c>
      <c r="L74" s="10">
        <f t="shared" si="161"/>
        <v>4.1454547067986618E-2</v>
      </c>
      <c r="M74" s="14">
        <v>13834.51</v>
      </c>
      <c r="N74" s="10">
        <f t="shared" si="161"/>
        <v>4.6186314211599903E-2</v>
      </c>
      <c r="O74" s="20">
        <v>15894.77</v>
      </c>
      <c r="P74" s="21">
        <f t="shared" ref="P74:T74" si="162">O74/O5</f>
        <v>3.5683953193560221E-2</v>
      </c>
      <c r="Q74" s="20">
        <v>16240.14</v>
      </c>
      <c r="R74" s="21">
        <f t="shared" si="162"/>
        <v>3.3361352656429241E-2</v>
      </c>
      <c r="S74" s="20">
        <f>13240.46+578.7</f>
        <v>13819.16</v>
      </c>
      <c r="T74" s="21">
        <f t="shared" si="162"/>
        <v>3.2971181817201427E-2</v>
      </c>
      <c r="U74" s="20">
        <f>12491.11+466.5</f>
        <v>12957.61</v>
      </c>
      <c r="V74" s="21" t="e">
        <f t="shared" ref="V74:Z74" si="163">U74/U5</f>
        <v>#DIV/0!</v>
      </c>
      <c r="W74" s="20">
        <f>9466.69+398.3</f>
        <v>9864.99</v>
      </c>
      <c r="X74" s="21">
        <f t="shared" si="163"/>
        <v>2.4200882492882322E-2</v>
      </c>
      <c r="Y74" s="20">
        <f>507.8+10543.89</f>
        <v>11051.689999999999</v>
      </c>
      <c r="Z74" s="25">
        <f t="shared" si="163"/>
        <v>2.5838802684393036E-2</v>
      </c>
      <c r="AA74" s="17">
        <f t="shared" si="149"/>
        <v>132963.91</v>
      </c>
    </row>
    <row r="75" spans="1:31" ht="27.95" customHeight="1" x14ac:dyDescent="0.15">
      <c r="A75" s="34"/>
      <c r="B75" s="11" t="s">
        <v>94</v>
      </c>
      <c r="C75" s="9"/>
      <c r="D75" s="10">
        <f t="shared" ref="D75:H75" si="164">C75/C5</f>
        <v>0</v>
      </c>
      <c r="E75" s="9"/>
      <c r="F75" s="10">
        <f t="shared" si="164"/>
        <v>0</v>
      </c>
      <c r="G75" s="9"/>
      <c r="H75" s="10">
        <f t="shared" si="164"/>
        <v>0</v>
      </c>
      <c r="I75" s="9"/>
      <c r="J75" s="10">
        <f t="shared" ref="J75:N75" si="165">I75/I5</f>
        <v>0</v>
      </c>
      <c r="K75" s="9"/>
      <c r="L75" s="10">
        <f t="shared" si="165"/>
        <v>0</v>
      </c>
      <c r="M75" s="9"/>
      <c r="N75" s="10">
        <f t="shared" si="165"/>
        <v>0</v>
      </c>
      <c r="O75" s="16"/>
      <c r="P75" s="21">
        <f t="shared" ref="P75:T75" si="166">O75/O5</f>
        <v>0</v>
      </c>
      <c r="Q75" s="16"/>
      <c r="R75" s="21">
        <f t="shared" si="166"/>
        <v>0</v>
      </c>
      <c r="S75" s="16"/>
      <c r="T75" s="21">
        <f t="shared" si="166"/>
        <v>0</v>
      </c>
      <c r="U75" s="16"/>
      <c r="V75" s="21" t="e">
        <f t="shared" ref="V75:Z75" si="167">U75/U5</f>
        <v>#DIV/0!</v>
      </c>
      <c r="W75" s="16"/>
      <c r="X75" s="21">
        <f t="shared" si="167"/>
        <v>0</v>
      </c>
      <c r="Y75" s="16"/>
      <c r="Z75" s="25">
        <f t="shared" si="167"/>
        <v>0</v>
      </c>
      <c r="AA75" s="17">
        <f t="shared" si="149"/>
        <v>0</v>
      </c>
    </row>
    <row r="76" spans="1:31" ht="27.95" customHeight="1" x14ac:dyDescent="0.15">
      <c r="A76" s="34"/>
      <c r="B76" s="11" t="s">
        <v>45</v>
      </c>
      <c r="C76" s="9"/>
      <c r="D76" s="10">
        <f t="shared" ref="D76:H76" si="168">C76/C5</f>
        <v>0</v>
      </c>
      <c r="E76" s="9"/>
      <c r="F76" s="10">
        <f t="shared" si="168"/>
        <v>0</v>
      </c>
      <c r="G76" s="9"/>
      <c r="H76" s="10">
        <f t="shared" si="168"/>
        <v>0</v>
      </c>
      <c r="I76" s="9"/>
      <c r="J76" s="10">
        <f t="shared" ref="J76:N76" si="169">I76/I5</f>
        <v>0</v>
      </c>
      <c r="K76" s="9"/>
      <c r="L76" s="10">
        <f t="shared" si="169"/>
        <v>0</v>
      </c>
      <c r="M76" s="9"/>
      <c r="N76" s="10">
        <f t="shared" si="169"/>
        <v>0</v>
      </c>
      <c r="O76" s="16"/>
      <c r="P76" s="21">
        <f t="shared" ref="P76:T76" si="170">O76/O5</f>
        <v>0</v>
      </c>
      <c r="Q76" s="16"/>
      <c r="R76" s="21">
        <f t="shared" si="170"/>
        <v>0</v>
      </c>
      <c r="S76" s="16"/>
      <c r="T76" s="21">
        <f t="shared" si="170"/>
        <v>0</v>
      </c>
      <c r="U76" s="16"/>
      <c r="V76" s="21" t="e">
        <f t="shared" ref="V76:Z76" si="171">U76/U5</f>
        <v>#DIV/0!</v>
      </c>
      <c r="W76" s="16"/>
      <c r="X76" s="21">
        <f t="shared" si="171"/>
        <v>0</v>
      </c>
      <c r="Y76" s="16"/>
      <c r="Z76" s="25">
        <f t="shared" si="171"/>
        <v>0</v>
      </c>
      <c r="AA76" s="17">
        <f t="shared" si="149"/>
        <v>0</v>
      </c>
    </row>
    <row r="77" spans="1:31" ht="27.95" customHeight="1" x14ac:dyDescent="0.15">
      <c r="A77" s="37" t="s">
        <v>95</v>
      </c>
      <c r="B77" s="37"/>
      <c r="C77" s="12">
        <f t="shared" ref="C77:Z77" si="172">SUM(C73:C76)</f>
        <v>21107.19</v>
      </c>
      <c r="D77" s="13">
        <f t="shared" si="172"/>
        <v>3.8432779021612622E-2</v>
      </c>
      <c r="E77" s="12">
        <f t="shared" si="172"/>
        <v>11121.119999999999</v>
      </c>
      <c r="F77" s="13">
        <f t="shared" si="172"/>
        <v>6.684655314195545E-2</v>
      </c>
      <c r="G77" s="12">
        <f t="shared" si="172"/>
        <v>11494.949999999999</v>
      </c>
      <c r="H77" s="13">
        <f t="shared" si="172"/>
        <v>5.3698780623620504E-2</v>
      </c>
      <c r="I77" s="12">
        <f t="shared" si="172"/>
        <v>8132.91</v>
      </c>
      <c r="J77" s="13">
        <f t="shared" si="172"/>
        <v>4.1128250459809119E-2</v>
      </c>
      <c r="K77" s="12">
        <f t="shared" si="172"/>
        <v>12067.060000000001</v>
      </c>
      <c r="L77" s="13">
        <f t="shared" si="172"/>
        <v>4.6965878079490847E-2</v>
      </c>
      <c r="M77" s="12">
        <f t="shared" si="172"/>
        <v>14948.09</v>
      </c>
      <c r="N77" s="13">
        <f t="shared" si="172"/>
        <v>4.9903985150415477E-2</v>
      </c>
      <c r="O77" s="18">
        <f t="shared" si="172"/>
        <v>17588.650000000001</v>
      </c>
      <c r="P77" s="22">
        <f t="shared" si="172"/>
        <v>3.9486734525753631E-2</v>
      </c>
      <c r="Q77" s="18">
        <f t="shared" si="172"/>
        <v>17399.439999999999</v>
      </c>
      <c r="R77" s="22">
        <f t="shared" si="172"/>
        <v>3.5742847898132722E-2</v>
      </c>
      <c r="S77" s="18">
        <f t="shared" si="172"/>
        <v>14591.78</v>
      </c>
      <c r="T77" s="22">
        <f t="shared" si="172"/>
        <v>3.481457855735106E-2</v>
      </c>
      <c r="U77" s="18">
        <f t="shared" si="172"/>
        <v>14075.390000000001</v>
      </c>
      <c r="V77" s="22" t="e">
        <f t="shared" si="172"/>
        <v>#DIV/0!</v>
      </c>
      <c r="W77" s="18">
        <f t="shared" si="172"/>
        <v>10859.69</v>
      </c>
      <c r="X77" s="22">
        <f t="shared" si="172"/>
        <v>2.6641089509379049E-2</v>
      </c>
      <c r="Y77" s="18">
        <f t="shared" si="172"/>
        <v>12039.569999999998</v>
      </c>
      <c r="Z77" s="26">
        <f t="shared" si="172"/>
        <v>2.814846178592938E-2</v>
      </c>
      <c r="AA77" s="17">
        <f t="shared" si="149"/>
        <v>165425.84000000003</v>
      </c>
    </row>
    <row r="78" spans="1:31" s="3" customFormat="1" ht="27.95" customHeight="1" x14ac:dyDescent="0.15">
      <c r="A78" s="34" t="s">
        <v>96</v>
      </c>
      <c r="B78" s="11" t="s">
        <v>97</v>
      </c>
      <c r="C78" s="9">
        <f t="shared" ref="C78:G78" si="173">C14</f>
        <v>552011.35</v>
      </c>
      <c r="D78" s="10">
        <v>1</v>
      </c>
      <c r="E78" s="9">
        <f t="shared" si="173"/>
        <v>167576.89000000001</v>
      </c>
      <c r="F78" s="10">
        <v>1</v>
      </c>
      <c r="G78" s="9">
        <f t="shared" si="173"/>
        <v>217395.02</v>
      </c>
      <c r="H78" s="10">
        <v>1</v>
      </c>
      <c r="I78" s="9">
        <f t="shared" ref="I78:M78" si="174">I14</f>
        <v>204211.4</v>
      </c>
      <c r="J78" s="10">
        <v>1</v>
      </c>
      <c r="K78" s="9">
        <f t="shared" si="174"/>
        <v>266390.24</v>
      </c>
      <c r="L78" s="10">
        <v>1</v>
      </c>
      <c r="M78" s="9">
        <f t="shared" si="174"/>
        <v>311526.8</v>
      </c>
      <c r="N78" s="10">
        <v>1</v>
      </c>
      <c r="O78" s="16">
        <f t="shared" ref="O78:S78" si="175">O14</f>
        <v>454443.32</v>
      </c>
      <c r="P78" s="21">
        <v>1</v>
      </c>
      <c r="Q78" s="16">
        <f t="shared" si="175"/>
        <v>504216.65</v>
      </c>
      <c r="R78" s="21">
        <v>1</v>
      </c>
      <c r="S78" s="16">
        <f t="shared" si="175"/>
        <v>438326.14</v>
      </c>
      <c r="T78" s="21">
        <v>1</v>
      </c>
      <c r="U78" s="16">
        <f t="shared" ref="U78:Y78" si="176">U14</f>
        <v>23674.799999999999</v>
      </c>
      <c r="V78" s="21">
        <v>1</v>
      </c>
      <c r="W78" s="16">
        <f t="shared" si="176"/>
        <v>433479.25</v>
      </c>
      <c r="X78" s="21">
        <v>1</v>
      </c>
      <c r="Y78" s="16">
        <f t="shared" si="176"/>
        <v>453422.1</v>
      </c>
      <c r="Z78" s="25">
        <v>1</v>
      </c>
      <c r="AA78" s="17">
        <f t="shared" si="149"/>
        <v>4026673.96</v>
      </c>
      <c r="AB78" s="32"/>
      <c r="AC78" s="32"/>
      <c r="AD78" s="32"/>
      <c r="AE78" s="32"/>
    </row>
    <row r="79" spans="1:31" s="3" customFormat="1" ht="27.95" customHeight="1" x14ac:dyDescent="0.15">
      <c r="A79" s="34"/>
      <c r="B79" s="11" t="s">
        <v>98</v>
      </c>
      <c r="C79" s="9">
        <f t="shared" ref="C79:G79" si="177">C17+C29+C33+C47+C51+C59+C72+C77</f>
        <v>428458.90742857143</v>
      </c>
      <c r="D79" s="10">
        <f t="shared" ref="D79:H79" si="178">C79/C78</f>
        <v>0.77617771342667397</v>
      </c>
      <c r="E79" s="9">
        <f t="shared" si="177"/>
        <v>311011.23</v>
      </c>
      <c r="F79" s="10">
        <f t="shared" si="178"/>
        <v>1.8559315070234323</v>
      </c>
      <c r="G79" s="9">
        <f t="shared" si="177"/>
        <v>126444.97395604396</v>
      </c>
      <c r="H79" s="10">
        <f t="shared" si="178"/>
        <v>0.58163693885924328</v>
      </c>
      <c r="I79" s="9">
        <f t="shared" ref="I79:M79" si="179">I17+I29+I33+I47+I51+I59+I72+I77</f>
        <v>259880.11500000002</v>
      </c>
      <c r="J79" s="10">
        <f t="shared" ref="J79:N79" si="180">I79/I78</f>
        <v>1.2726033659237439</v>
      </c>
      <c r="K79" s="9">
        <f t="shared" si="179"/>
        <v>260478.84857142856</v>
      </c>
      <c r="L79" s="10">
        <f t="shared" si="180"/>
        <v>0.97780927924171912</v>
      </c>
      <c r="M79" s="9">
        <f t="shared" si="179"/>
        <v>307607.27000000008</v>
      </c>
      <c r="N79" s="10">
        <f t="shared" si="180"/>
        <v>0.98741832163396559</v>
      </c>
      <c r="O79" s="16">
        <f t="shared" ref="O79:S79" si="181">O17+O29+O33+O47+O51+O59+O72+O77</f>
        <v>384198.52178823535</v>
      </c>
      <c r="P79" s="21">
        <f t="shared" ref="P79:T79" si="182">O79/O78</f>
        <v>0.84542671193458263</v>
      </c>
      <c r="Q79" s="16">
        <f t="shared" si="181"/>
        <v>400690.99186470587</v>
      </c>
      <c r="R79" s="21">
        <f t="shared" si="182"/>
        <v>0.79468020713855014</v>
      </c>
      <c r="S79" s="16">
        <f t="shared" si="181"/>
        <v>376593.64065000002</v>
      </c>
      <c r="T79" s="21">
        <f t="shared" si="182"/>
        <v>0.85916308949769682</v>
      </c>
      <c r="U79" s="16">
        <f t="shared" ref="U79:Y79" si="183">U17+U29+U33+U47+U51+U59+U72+U77</f>
        <v>396021.37933333335</v>
      </c>
      <c r="V79" s="21">
        <f t="shared" ref="V79:Z79" si="184">U79/U78</f>
        <v>16.727549095803695</v>
      </c>
      <c r="W79" s="16">
        <f t="shared" si="183"/>
        <v>380902.68144117645</v>
      </c>
      <c r="X79" s="21">
        <f>W79/W78</f>
        <v>0.8787102991462139</v>
      </c>
      <c r="Y79" s="16">
        <f t="shared" si="183"/>
        <v>378386.38244444446</v>
      </c>
      <c r="Z79" s="25">
        <f t="shared" si="184"/>
        <v>0.83451243872860292</v>
      </c>
      <c r="AA79" s="17">
        <f t="shared" si="149"/>
        <v>4010674.9424779401</v>
      </c>
      <c r="AB79" s="32"/>
      <c r="AC79" s="32"/>
      <c r="AD79" s="32"/>
      <c r="AE79" s="32"/>
    </row>
    <row r="80" spans="1:31" s="3" customFormat="1" ht="27.95" customHeight="1" x14ac:dyDescent="0.15">
      <c r="A80" s="34"/>
      <c r="B80" s="11" t="s">
        <v>99</v>
      </c>
      <c r="C80" s="16">
        <f t="shared" ref="C80:Z80" si="185">C78-C79</f>
        <v>123552.44257142855</v>
      </c>
      <c r="D80" s="21">
        <f t="shared" si="185"/>
        <v>0.22382228657332603</v>
      </c>
      <c r="E80" s="27">
        <f t="shared" si="185"/>
        <v>-143434.33999999997</v>
      </c>
      <c r="F80" s="28">
        <f t="shared" si="185"/>
        <v>-0.85593150702343235</v>
      </c>
      <c r="G80" s="16">
        <f t="shared" si="185"/>
        <v>90950.046043956027</v>
      </c>
      <c r="H80" s="21">
        <f t="shared" si="185"/>
        <v>0.41836306114075672</v>
      </c>
      <c r="I80" s="27">
        <f t="shared" si="185"/>
        <v>-55668.715000000026</v>
      </c>
      <c r="J80" s="28">
        <f t="shared" si="185"/>
        <v>-0.2726033659237439</v>
      </c>
      <c r="K80" s="27">
        <f t="shared" si="185"/>
        <v>5911.3914285714272</v>
      </c>
      <c r="L80" s="28">
        <f t="shared" si="185"/>
        <v>2.219072075828088E-2</v>
      </c>
      <c r="M80" s="27">
        <f t="shared" si="185"/>
        <v>3919.5299999999115</v>
      </c>
      <c r="N80" s="28">
        <f t="shared" si="185"/>
        <v>1.258167836603441E-2</v>
      </c>
      <c r="O80" s="16">
        <f t="shared" si="185"/>
        <v>70244.798211764661</v>
      </c>
      <c r="P80" s="21">
        <f t="shared" si="185"/>
        <v>0.15457328806541737</v>
      </c>
      <c r="Q80" s="16">
        <f t="shared" si="185"/>
        <v>103525.65813529416</v>
      </c>
      <c r="R80" s="21">
        <f t="shared" si="185"/>
        <v>0.20531979286144986</v>
      </c>
      <c r="S80" s="27">
        <f t="shared" si="185"/>
        <v>61732.499349999998</v>
      </c>
      <c r="T80" s="28">
        <f t="shared" si="185"/>
        <v>0.14083691050230318</v>
      </c>
      <c r="U80" s="16">
        <f t="shared" si="185"/>
        <v>-372346.57933333336</v>
      </c>
      <c r="V80" s="21">
        <f t="shared" si="185"/>
        <v>-15.727549095803695</v>
      </c>
      <c r="W80" s="27">
        <f t="shared" si="185"/>
        <v>52576.56855882355</v>
      </c>
      <c r="X80" s="28">
        <f t="shared" si="185"/>
        <v>0.1212897008537861</v>
      </c>
      <c r="Y80" s="16">
        <f t="shared" si="185"/>
        <v>75035.717555555515</v>
      </c>
      <c r="Z80" s="25">
        <f t="shared" si="185"/>
        <v>0.16548756127139708</v>
      </c>
      <c r="AA80" s="33">
        <f t="shared" si="149"/>
        <v>15999.017522060429</v>
      </c>
      <c r="AB80" s="32"/>
      <c r="AC80" s="32"/>
      <c r="AD80" s="32"/>
      <c r="AE80" s="32"/>
    </row>
    <row r="81" spans="16:26" ht="27.95" customHeight="1" x14ac:dyDescent="0.15">
      <c r="P81" s="29"/>
      <c r="R81" s="29"/>
      <c r="T81" s="29"/>
      <c r="V81" s="29"/>
      <c r="X81" s="29"/>
      <c r="Z81" s="29"/>
    </row>
    <row r="82" spans="16:26" ht="27.95" customHeight="1" x14ac:dyDescent="0.15">
      <c r="P82" s="29"/>
      <c r="R82" s="29"/>
      <c r="T82" s="29"/>
      <c r="V82" s="29"/>
      <c r="X82" s="29"/>
      <c r="Z82" s="29"/>
    </row>
    <row r="83" spans="16:26" ht="27.95" customHeight="1" x14ac:dyDescent="0.15">
      <c r="P83" s="30"/>
      <c r="R83" s="30"/>
      <c r="T83" s="30"/>
      <c r="V83" s="30"/>
      <c r="X83" s="30"/>
      <c r="Z83" s="30"/>
    </row>
  </sheetData>
  <mergeCells count="22">
    <mergeCell ref="A72:B72"/>
    <mergeCell ref="A1:Z1"/>
    <mergeCell ref="C2:Z2"/>
    <mergeCell ref="A14:B14"/>
    <mergeCell ref="A17:B17"/>
    <mergeCell ref="A29:B29"/>
    <mergeCell ref="A78:A80"/>
    <mergeCell ref="AA1:AA2"/>
    <mergeCell ref="A77:B77"/>
    <mergeCell ref="A3:A13"/>
    <mergeCell ref="A15:A16"/>
    <mergeCell ref="A18:A28"/>
    <mergeCell ref="A30:A32"/>
    <mergeCell ref="A34:A46"/>
    <mergeCell ref="A48:A50"/>
    <mergeCell ref="A52:A58"/>
    <mergeCell ref="A60:A71"/>
    <mergeCell ref="A73:A76"/>
    <mergeCell ref="A33:B33"/>
    <mergeCell ref="A47:B47"/>
    <mergeCell ref="A51:B51"/>
    <mergeCell ref="A59:B59"/>
  </mergeCells>
  <phoneticPr fontId="7" type="noConversion"/>
  <pageMargins left="0.196527777777778" right="0.196527777777778" top="0.35416666666666702" bottom="0.235416666666667" header="0.3" footer="0.3"/>
  <pageSetup paperSize="9"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宝华店3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10</dc:creator>
  <cp:lastModifiedBy>Midea</cp:lastModifiedBy>
  <dcterms:created xsi:type="dcterms:W3CDTF">2021-01-15T11:14:00Z</dcterms:created>
  <dcterms:modified xsi:type="dcterms:W3CDTF">2021-02-05T06:22:39Z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