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120" yWindow="1440" windowWidth="24820" windowHeight="15560" tabRatio="866" activeTab="3"/>
  </bookViews>
  <sheets>
    <sheet name="Basic Costs" sheetId="13" r:id="rId1"/>
    <sheet name="Coal CCS" sheetId="11" r:id="rId2"/>
    <sheet name="Wind" sheetId="12" r:id="rId3"/>
    <sheet name="NG Price" sheetId="15" r:id="rId4"/>
    <sheet name="Binomial Latice template" sheetId="5" r:id="rId5"/>
    <sheet name="Trinomial Latice template" sheetId="9" r:id="rId6"/>
  </sheets>
  <definedNames>
    <definedName name="c_coal">'Basic Costs'!$C$5</definedName>
    <definedName name="c_coal_ccs">'Basic Costs'!$C$10</definedName>
    <definedName name="c_ng_gt">'Basic Costs'!$C$7</definedName>
    <definedName name="c_nuke">'Basic Costs'!$C$8</definedName>
    <definedName name="c_wind">'Basic Costs'!$C$9</definedName>
    <definedName name="ccs_round">'Coal CCS'!$L$12</definedName>
    <definedName name="down">'Binomial Latice template'!$B$9</definedName>
    <definedName name="hi" localSheetId="1">'Coal CCS'!$L$9</definedName>
    <definedName name="hi" localSheetId="3">'NG Price'!$G$9</definedName>
    <definedName name="hi" localSheetId="2">Wind!$L$9</definedName>
    <definedName name="hi">'Trinomial Latice template'!$G$9</definedName>
    <definedName name="low" localSheetId="1">'Coal CCS'!$L$11</definedName>
    <definedName name="low" localSheetId="3">'NG Price'!$G$11</definedName>
    <definedName name="low" localSheetId="2">Wind!$L$11</definedName>
    <definedName name="low">'Trinomial Latice template'!$G$11</definedName>
    <definedName name="mid" localSheetId="1">'Coal CCS'!$L$10</definedName>
    <definedName name="mid" localSheetId="3">'NG Price'!$G$10</definedName>
    <definedName name="mid" localSheetId="2">Wind!$L$10</definedName>
    <definedName name="mid">'Trinomial Latice template'!$G$10</definedName>
    <definedName name="n_periods" localSheetId="1">'Coal CCS'!$D$8</definedName>
    <definedName name="n_periods" localSheetId="3">'NG Price'!$D$7</definedName>
    <definedName name="n_periods" localSheetId="5">'Trinomial Latice template'!$D$7</definedName>
    <definedName name="n_periods" localSheetId="2">Wind!$D$8</definedName>
    <definedName name="n_periods">'Binomial Latice template'!$G$6</definedName>
    <definedName name="Prob_down" localSheetId="4">'Binomial Latice template'!$D$7</definedName>
    <definedName name="Prob_down">#REF!</definedName>
    <definedName name="Prob_hi" localSheetId="1">'Coal CCS'!$L$6</definedName>
    <definedName name="Prob_hi" localSheetId="3">'NG Price'!$G$6</definedName>
    <definedName name="Prob_hi" localSheetId="2">Wind!$L$6</definedName>
    <definedName name="Prob_hi">'Trinomial Latice template'!$G$6</definedName>
    <definedName name="Prob_low" localSheetId="1">'Coal CCS'!$L$8</definedName>
    <definedName name="Prob_low" localSheetId="3">'NG Price'!$G$8</definedName>
    <definedName name="Prob_low" localSheetId="2">Wind!$L$8</definedName>
    <definedName name="Prob_low">'Trinomial Latice template'!$G$8</definedName>
    <definedName name="Prob_mid" localSheetId="1">'Coal CCS'!$L$7</definedName>
    <definedName name="Prob_mid" localSheetId="3">'NG Price'!$G$7</definedName>
    <definedName name="Prob_mid" localSheetId="2">Wind!$L$7</definedName>
    <definedName name="Prob_mid">'Trinomial Latice template'!$G$7</definedName>
    <definedName name="prob_same" localSheetId="1">'Coal CCS'!$L$7</definedName>
    <definedName name="prob_same" localSheetId="3">'NG Price'!$G$7</definedName>
    <definedName name="prob_same" localSheetId="2">Wind!$L$7</definedName>
    <definedName name="prob_same">'Trinomial Latice template'!$G$7</definedName>
    <definedName name="Prob_up" localSheetId="4">'Binomial Latice template'!$B$7</definedName>
    <definedName name="Prob_up">#REF!</definedName>
    <definedName name="round_to" localSheetId="3">'NG Price'!$H$12</definedName>
    <definedName name="round_to">'Trinomial Latice template'!$H$12</definedName>
    <definedName name="up">'Binomial Latice template'!$B$8</definedName>
    <definedName name="v_max" localSheetId="1">'Coal CCS'!$D$9</definedName>
    <definedName name="v_max" localSheetId="3">'NG Price'!$D$8</definedName>
    <definedName name="v_max" localSheetId="5">'Trinomial Latice template'!$D$8</definedName>
    <definedName name="v_max" localSheetId="2">Wind!$D$9</definedName>
    <definedName name="v_max">'Binomial Latice template'!$G$7</definedName>
    <definedName name="v_min" localSheetId="1">'Coal CCS'!$D$10</definedName>
    <definedName name="v_min" localSheetId="3">'NG Price'!$D$9</definedName>
    <definedName name="v_min" localSheetId="5">'Trinomial Latice template'!$D$9</definedName>
    <definedName name="v_min" localSheetId="2">Wind!$D$10</definedName>
    <definedName name="v_min">'Binomial Latice template'!$G$8</definedName>
    <definedName name="v_ref" localSheetId="1">'Coal CCS'!$D$11</definedName>
    <definedName name="v_ref" localSheetId="3">'NG Price'!$D$10</definedName>
    <definedName name="v_ref" localSheetId="2">Wind!$D$11</definedName>
    <definedName name="v_ref">'Trinomial Latice template'!$D$10</definedName>
    <definedName name="v_start" localSheetId="1">'Coal CCS'!$D$7</definedName>
    <definedName name="v_start" localSheetId="3">'NG Price'!$D$6</definedName>
    <definedName name="v_start" localSheetId="5">'Trinomial Latice template'!$D$6</definedName>
    <definedName name="v_start" localSheetId="2">Wind!$D$7</definedName>
    <definedName name="v_start">'Binomial Latice template'!$B$6</definedName>
    <definedName name="wind_round">Wind!$L$12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5" l="1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A54" i="15"/>
  <c r="B54" i="15"/>
  <c r="G8" i="15"/>
  <c r="H54" i="15"/>
  <c r="A55" i="15"/>
  <c r="B55" i="15"/>
  <c r="H55" i="15"/>
  <c r="A56" i="15"/>
  <c r="B56" i="15"/>
  <c r="H56" i="15"/>
  <c r="A57" i="15"/>
  <c r="B57" i="15"/>
  <c r="H57" i="15"/>
  <c r="A58" i="15"/>
  <c r="B58" i="15"/>
  <c r="H58" i="15"/>
  <c r="A59" i="15"/>
  <c r="B59" i="15"/>
  <c r="H59" i="15"/>
  <c r="A60" i="15"/>
  <c r="B60" i="15"/>
  <c r="H60" i="15"/>
  <c r="A61" i="15"/>
  <c r="B61" i="15"/>
  <c r="H61" i="15"/>
  <c r="A62" i="15"/>
  <c r="B62" i="15"/>
  <c r="H62" i="15"/>
  <c r="A63" i="15"/>
  <c r="B63" i="15"/>
  <c r="H63" i="15"/>
  <c r="A64" i="15"/>
  <c r="B64" i="15"/>
  <c r="H64" i="15"/>
  <c r="A65" i="15"/>
  <c r="B65" i="15"/>
  <c r="H65" i="15"/>
  <c r="A66" i="15"/>
  <c r="B66" i="15"/>
  <c r="H66" i="15"/>
  <c r="A67" i="15"/>
  <c r="B67" i="15"/>
  <c r="H67" i="15"/>
  <c r="A68" i="15"/>
  <c r="B68" i="15"/>
  <c r="H68" i="15"/>
  <c r="H33" i="15"/>
  <c r="H35" i="15"/>
  <c r="G16" i="15"/>
  <c r="G17" i="15"/>
  <c r="G18" i="15"/>
  <c r="G19" i="15"/>
  <c r="G20" i="15"/>
  <c r="G21" i="15"/>
  <c r="G22" i="15"/>
  <c r="G23" i="15"/>
  <c r="G24" i="15"/>
  <c r="G25" i="15"/>
  <c r="G54" i="15"/>
  <c r="G55" i="15"/>
  <c r="G56" i="15"/>
  <c r="G57" i="15"/>
  <c r="G58" i="15"/>
  <c r="G59" i="15"/>
  <c r="G60" i="15"/>
  <c r="G61" i="15"/>
  <c r="G62" i="15"/>
  <c r="G63" i="15"/>
  <c r="G33" i="15"/>
  <c r="G35" i="15"/>
  <c r="F16" i="15"/>
  <c r="F17" i="15"/>
  <c r="F18" i="15"/>
  <c r="F19" i="15"/>
  <c r="F20" i="15"/>
  <c r="F21" i="15"/>
  <c r="F54" i="15"/>
  <c r="F55" i="15"/>
  <c r="F56" i="15"/>
  <c r="F57" i="15"/>
  <c r="F58" i="15"/>
  <c r="F59" i="15"/>
  <c r="F33" i="15"/>
  <c r="F35" i="15"/>
  <c r="E16" i="15"/>
  <c r="E17" i="15"/>
  <c r="E18" i="15"/>
  <c r="E54" i="15"/>
  <c r="E55" i="15"/>
  <c r="E56" i="15"/>
  <c r="E33" i="15"/>
  <c r="E35" i="15"/>
  <c r="D16" i="15"/>
  <c r="D33" i="15"/>
  <c r="D35" i="15"/>
  <c r="E35" i="9"/>
  <c r="F35" i="9"/>
  <c r="G35" i="9"/>
  <c r="H35" i="9"/>
  <c r="D3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A54" i="9"/>
  <c r="B54" i="9"/>
  <c r="H54" i="9"/>
  <c r="A55" i="9"/>
  <c r="B55" i="9"/>
  <c r="H55" i="9"/>
  <c r="A56" i="9"/>
  <c r="B56" i="9"/>
  <c r="H56" i="9"/>
  <c r="A57" i="9"/>
  <c r="B57" i="9"/>
  <c r="H57" i="9"/>
  <c r="A58" i="9"/>
  <c r="B58" i="9"/>
  <c r="H58" i="9"/>
  <c r="A59" i="9"/>
  <c r="B59" i="9"/>
  <c r="H59" i="9"/>
  <c r="A60" i="9"/>
  <c r="B60" i="9"/>
  <c r="H60" i="9"/>
  <c r="A61" i="9"/>
  <c r="B61" i="9"/>
  <c r="H61" i="9"/>
  <c r="A62" i="9"/>
  <c r="B62" i="9"/>
  <c r="H62" i="9"/>
  <c r="A63" i="9"/>
  <c r="B63" i="9"/>
  <c r="H63" i="9"/>
  <c r="A64" i="9"/>
  <c r="B64" i="9"/>
  <c r="H64" i="9"/>
  <c r="A65" i="9"/>
  <c r="B65" i="9"/>
  <c r="H65" i="9"/>
  <c r="A66" i="9"/>
  <c r="B66" i="9"/>
  <c r="H66" i="9"/>
  <c r="A67" i="9"/>
  <c r="B67" i="9"/>
  <c r="H67" i="9"/>
  <c r="A68" i="9"/>
  <c r="B68" i="9"/>
  <c r="H68" i="9"/>
  <c r="H33" i="9"/>
  <c r="H34" i="9"/>
  <c r="G16" i="9"/>
  <c r="G17" i="9"/>
  <c r="G18" i="9"/>
  <c r="G19" i="9"/>
  <c r="G20" i="9"/>
  <c r="G21" i="9"/>
  <c r="G22" i="9"/>
  <c r="G23" i="9"/>
  <c r="G24" i="9"/>
  <c r="G25" i="9"/>
  <c r="G54" i="9"/>
  <c r="G55" i="9"/>
  <c r="G56" i="9"/>
  <c r="G57" i="9"/>
  <c r="G58" i="9"/>
  <c r="G59" i="9"/>
  <c r="G60" i="9"/>
  <c r="G61" i="9"/>
  <c r="G62" i="9"/>
  <c r="G63" i="9"/>
  <c r="G33" i="9"/>
  <c r="G34" i="9"/>
  <c r="F16" i="9"/>
  <c r="F17" i="9"/>
  <c r="F18" i="9"/>
  <c r="F19" i="9"/>
  <c r="F20" i="9"/>
  <c r="F21" i="9"/>
  <c r="F54" i="9"/>
  <c r="F55" i="9"/>
  <c r="F56" i="9"/>
  <c r="F57" i="9"/>
  <c r="F58" i="9"/>
  <c r="F59" i="9"/>
  <c r="F33" i="9"/>
  <c r="F34" i="9"/>
  <c r="E16" i="9"/>
  <c r="E17" i="9"/>
  <c r="E18" i="9"/>
  <c r="E54" i="9"/>
  <c r="E55" i="9"/>
  <c r="E56" i="9"/>
  <c r="E33" i="9"/>
  <c r="E34" i="9"/>
  <c r="D16" i="9"/>
  <c r="D33" i="9"/>
  <c r="D34" i="9"/>
  <c r="H29" i="11"/>
  <c r="H28" i="11"/>
  <c r="H27" i="11"/>
  <c r="H26" i="11"/>
  <c r="H25" i="11"/>
  <c r="H24" i="11"/>
  <c r="G24" i="11"/>
  <c r="H23" i="11"/>
  <c r="G23" i="11"/>
  <c r="H22" i="11"/>
  <c r="G22" i="11"/>
  <c r="H21" i="11"/>
  <c r="G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E17" i="11"/>
  <c r="H16" i="11"/>
  <c r="G16" i="11"/>
  <c r="F16" i="11"/>
  <c r="E16" i="11"/>
  <c r="H15" i="11"/>
  <c r="G15" i="11"/>
  <c r="F15" i="11"/>
  <c r="E15" i="11"/>
  <c r="D15" i="11"/>
  <c r="N12" i="11"/>
  <c r="H86" i="15"/>
  <c r="H103" i="15"/>
  <c r="H120" i="15"/>
  <c r="H85" i="15"/>
  <c r="H102" i="15"/>
  <c r="H119" i="15"/>
  <c r="H84" i="15"/>
  <c r="H101" i="15"/>
  <c r="H118" i="15"/>
  <c r="H83" i="15"/>
  <c r="H100" i="15"/>
  <c r="H117" i="15"/>
  <c r="H82" i="15"/>
  <c r="H99" i="15"/>
  <c r="H116" i="15"/>
  <c r="H81" i="15"/>
  <c r="H98" i="15"/>
  <c r="H115" i="15"/>
  <c r="G81" i="15"/>
  <c r="G98" i="15"/>
  <c r="G115" i="15"/>
  <c r="H80" i="15"/>
  <c r="H97" i="15"/>
  <c r="H114" i="15"/>
  <c r="G80" i="15"/>
  <c r="G97" i="15"/>
  <c r="G114" i="15"/>
  <c r="H79" i="15"/>
  <c r="H96" i="15"/>
  <c r="H113" i="15"/>
  <c r="G79" i="15"/>
  <c r="G96" i="15"/>
  <c r="G113" i="15"/>
  <c r="H78" i="15"/>
  <c r="H95" i="15"/>
  <c r="H112" i="15"/>
  <c r="G78" i="15"/>
  <c r="G95" i="15"/>
  <c r="G112" i="15"/>
  <c r="H77" i="15"/>
  <c r="H94" i="15"/>
  <c r="H111" i="15"/>
  <c r="G77" i="15"/>
  <c r="G94" i="15"/>
  <c r="G111" i="15"/>
  <c r="F77" i="15"/>
  <c r="F94" i="15"/>
  <c r="F111" i="15"/>
  <c r="H76" i="15"/>
  <c r="H93" i="15"/>
  <c r="H110" i="15"/>
  <c r="G76" i="15"/>
  <c r="G93" i="15"/>
  <c r="G110" i="15"/>
  <c r="F76" i="15"/>
  <c r="F93" i="15"/>
  <c r="F110" i="15"/>
  <c r="H75" i="15"/>
  <c r="H92" i="15"/>
  <c r="H109" i="15"/>
  <c r="G75" i="15"/>
  <c r="G92" i="15"/>
  <c r="G109" i="15"/>
  <c r="F75" i="15"/>
  <c r="F92" i="15"/>
  <c r="F109" i="15"/>
  <c r="H74" i="15"/>
  <c r="H91" i="15"/>
  <c r="H108" i="15"/>
  <c r="G74" i="15"/>
  <c r="G91" i="15"/>
  <c r="G108" i="15"/>
  <c r="F74" i="15"/>
  <c r="F91" i="15"/>
  <c r="F108" i="15"/>
  <c r="E74" i="15"/>
  <c r="E91" i="15"/>
  <c r="E108" i="15"/>
  <c r="H73" i="15"/>
  <c r="H90" i="15"/>
  <c r="H107" i="15"/>
  <c r="G73" i="15"/>
  <c r="G90" i="15"/>
  <c r="G107" i="15"/>
  <c r="F73" i="15"/>
  <c r="F90" i="15"/>
  <c r="F107" i="15"/>
  <c r="E73" i="15"/>
  <c r="E90" i="15"/>
  <c r="E107" i="15"/>
  <c r="H72" i="15"/>
  <c r="H89" i="15"/>
  <c r="H106" i="15"/>
  <c r="G72" i="15"/>
  <c r="G89" i="15"/>
  <c r="G106" i="15"/>
  <c r="F72" i="15"/>
  <c r="F89" i="15"/>
  <c r="F106" i="15"/>
  <c r="E72" i="15"/>
  <c r="E89" i="15"/>
  <c r="E106" i="15"/>
  <c r="D72" i="15"/>
  <c r="D89" i="15"/>
  <c r="D106" i="15"/>
  <c r="H70" i="15"/>
  <c r="G70" i="15"/>
  <c r="F70" i="15"/>
  <c r="E70" i="15"/>
  <c r="D70" i="15"/>
  <c r="H51" i="15"/>
  <c r="H50" i="15"/>
  <c r="H49" i="15"/>
  <c r="H48" i="15"/>
  <c r="H47" i="15"/>
  <c r="H46" i="15"/>
  <c r="G46" i="15"/>
  <c r="H45" i="15"/>
  <c r="G45" i="15"/>
  <c r="H44" i="15"/>
  <c r="G44" i="15"/>
  <c r="H43" i="15"/>
  <c r="G43" i="15"/>
  <c r="H42" i="15"/>
  <c r="G42" i="15"/>
  <c r="F42" i="15"/>
  <c r="H41" i="15"/>
  <c r="G41" i="15"/>
  <c r="F41" i="15"/>
  <c r="H40" i="15"/>
  <c r="G40" i="15"/>
  <c r="F40" i="15"/>
  <c r="H39" i="15"/>
  <c r="G39" i="15"/>
  <c r="F39" i="15"/>
  <c r="E39" i="15"/>
  <c r="H38" i="15"/>
  <c r="G38" i="15"/>
  <c r="F38" i="15"/>
  <c r="E38" i="15"/>
  <c r="H37" i="15"/>
  <c r="G37" i="15"/>
  <c r="F37" i="15"/>
  <c r="E37" i="15"/>
  <c r="D37" i="15"/>
  <c r="H34" i="15"/>
  <c r="G34" i="15"/>
  <c r="F34" i="15"/>
  <c r="E34" i="15"/>
  <c r="D34" i="15"/>
  <c r="J12" i="15"/>
  <c r="L12" i="15"/>
  <c r="H11" i="15"/>
  <c r="H10" i="15"/>
  <c r="H9" i="15"/>
  <c r="G9" i="9"/>
  <c r="G11" i="9"/>
  <c r="J12" i="9"/>
  <c r="L12" i="9"/>
  <c r="H9" i="9"/>
  <c r="H10" i="9"/>
  <c r="H11" i="9"/>
  <c r="D6" i="11"/>
  <c r="D11" i="11"/>
  <c r="P12" i="11"/>
  <c r="N12" i="12"/>
  <c r="D6" i="12"/>
  <c r="P12" i="12"/>
  <c r="D7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G16" i="12"/>
  <c r="G17" i="12"/>
  <c r="G18" i="12"/>
  <c r="G19" i="12"/>
  <c r="G20" i="12"/>
  <c r="G21" i="12"/>
  <c r="G22" i="12"/>
  <c r="G23" i="12"/>
  <c r="G24" i="12"/>
  <c r="F16" i="12"/>
  <c r="F17" i="12"/>
  <c r="F18" i="12"/>
  <c r="F19" i="12"/>
  <c r="F20" i="12"/>
  <c r="F15" i="12"/>
  <c r="G15" i="12"/>
  <c r="H15" i="12"/>
  <c r="M10" i="12"/>
  <c r="E16" i="12"/>
  <c r="E17" i="12"/>
  <c r="E15" i="12"/>
  <c r="D15" i="12"/>
  <c r="D10" i="12"/>
  <c r="M11" i="12"/>
  <c r="D9" i="12"/>
  <c r="M9" i="12"/>
  <c r="D7" i="11"/>
  <c r="D9" i="11"/>
  <c r="M9" i="11"/>
  <c r="M10" i="11"/>
  <c r="D10" i="11"/>
  <c r="M11" i="11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32" i="12"/>
  <c r="H33" i="12"/>
  <c r="G52" i="12"/>
  <c r="G53" i="12"/>
  <c r="G54" i="12"/>
  <c r="G55" i="12"/>
  <c r="G56" i="12"/>
  <c r="G57" i="12"/>
  <c r="G58" i="12"/>
  <c r="G59" i="12"/>
  <c r="G60" i="12"/>
  <c r="G61" i="12"/>
  <c r="G32" i="12"/>
  <c r="G33" i="12"/>
  <c r="F52" i="12"/>
  <c r="F53" i="12"/>
  <c r="F54" i="12"/>
  <c r="F55" i="12"/>
  <c r="F56" i="12"/>
  <c r="F57" i="12"/>
  <c r="F32" i="12"/>
  <c r="F33" i="12"/>
  <c r="E52" i="12"/>
  <c r="E53" i="12"/>
  <c r="E54" i="12"/>
  <c r="E32" i="12"/>
  <c r="E33" i="12"/>
  <c r="D32" i="12"/>
  <c r="D33" i="12"/>
  <c r="L8" i="11"/>
  <c r="E52" i="11"/>
  <c r="E53" i="11"/>
  <c r="E54" i="11"/>
  <c r="E32" i="11"/>
  <c r="E33" i="11"/>
  <c r="F52" i="11"/>
  <c r="F53" i="11"/>
  <c r="F54" i="11"/>
  <c r="F55" i="11"/>
  <c r="F56" i="11"/>
  <c r="F57" i="11"/>
  <c r="F32" i="11"/>
  <c r="F33" i="11"/>
  <c r="G52" i="11"/>
  <c r="G53" i="11"/>
  <c r="G54" i="11"/>
  <c r="G55" i="11"/>
  <c r="G56" i="11"/>
  <c r="G57" i="11"/>
  <c r="G58" i="11"/>
  <c r="G59" i="11"/>
  <c r="G60" i="11"/>
  <c r="G61" i="11"/>
  <c r="G32" i="11"/>
  <c r="G33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32" i="11"/>
  <c r="H33" i="11"/>
  <c r="D32" i="11"/>
  <c r="D33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L8" i="12"/>
  <c r="G70" i="11"/>
  <c r="G87" i="11"/>
  <c r="G104" i="11"/>
  <c r="G71" i="11"/>
  <c r="G88" i="11"/>
  <c r="G105" i="11"/>
  <c r="G72" i="11"/>
  <c r="G89" i="11"/>
  <c r="G106" i="11"/>
  <c r="G73" i="11"/>
  <c r="G90" i="11"/>
  <c r="G107" i="11"/>
  <c r="G74" i="11"/>
  <c r="G91" i="11"/>
  <c r="G108" i="11"/>
  <c r="G75" i="11"/>
  <c r="G92" i="11"/>
  <c r="G109" i="11"/>
  <c r="G76" i="11"/>
  <c r="G93" i="11"/>
  <c r="G110" i="11"/>
  <c r="G77" i="11"/>
  <c r="G94" i="11"/>
  <c r="G111" i="11"/>
  <c r="G78" i="11"/>
  <c r="G95" i="11"/>
  <c r="G112" i="11"/>
  <c r="G79" i="11"/>
  <c r="G96" i="11"/>
  <c r="G113" i="11"/>
  <c r="D12" i="11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G70" i="12"/>
  <c r="G87" i="12"/>
  <c r="G104" i="12"/>
  <c r="G71" i="12"/>
  <c r="G88" i="12"/>
  <c r="G105" i="12"/>
  <c r="G72" i="12"/>
  <c r="G89" i="12"/>
  <c r="G106" i="12"/>
  <c r="G73" i="12"/>
  <c r="G90" i="12"/>
  <c r="G107" i="12"/>
  <c r="G74" i="12"/>
  <c r="G91" i="12"/>
  <c r="G108" i="12"/>
  <c r="G75" i="12"/>
  <c r="G92" i="12"/>
  <c r="G109" i="12"/>
  <c r="G76" i="12"/>
  <c r="G93" i="12"/>
  <c r="G110" i="12"/>
  <c r="G77" i="12"/>
  <c r="G94" i="12"/>
  <c r="G111" i="12"/>
  <c r="G78" i="12"/>
  <c r="G95" i="12"/>
  <c r="G112" i="12"/>
  <c r="G79" i="12"/>
  <c r="G96" i="12"/>
  <c r="G113" i="12"/>
  <c r="D12" i="12"/>
  <c r="G12" i="12"/>
  <c r="J6" i="12"/>
  <c r="J12" i="12"/>
  <c r="I6" i="12"/>
  <c r="I12" i="12"/>
  <c r="L7" i="12"/>
  <c r="I6" i="11"/>
  <c r="I10" i="11"/>
  <c r="H6" i="11"/>
  <c r="H10" i="11"/>
  <c r="I9" i="11"/>
  <c r="H9" i="11"/>
  <c r="I7" i="11"/>
  <c r="H7" i="11"/>
  <c r="I10" i="12"/>
  <c r="J10" i="12"/>
  <c r="J9" i="12"/>
  <c r="I9" i="12"/>
  <c r="G7" i="12"/>
  <c r="G8" i="12"/>
  <c r="I8" i="12"/>
  <c r="J7" i="12"/>
  <c r="I7" i="12"/>
  <c r="G11" i="12"/>
  <c r="J11" i="12"/>
  <c r="I11" i="12"/>
  <c r="J8" i="12"/>
  <c r="D11" i="12"/>
  <c r="A52" i="12"/>
  <c r="B52" i="12"/>
  <c r="A62" i="12"/>
  <c r="B62" i="12"/>
  <c r="A63" i="12"/>
  <c r="B63" i="12"/>
  <c r="A64" i="12"/>
  <c r="B64" i="12"/>
  <c r="A65" i="12"/>
  <c r="B65" i="12"/>
  <c r="A66" i="12"/>
  <c r="B66" i="12"/>
  <c r="H84" i="12"/>
  <c r="H101" i="12"/>
  <c r="H118" i="12"/>
  <c r="H83" i="12"/>
  <c r="H100" i="12"/>
  <c r="H117" i="12"/>
  <c r="H82" i="12"/>
  <c r="H99" i="12"/>
  <c r="H116" i="12"/>
  <c r="H81" i="12"/>
  <c r="H98" i="12"/>
  <c r="H115" i="12"/>
  <c r="H80" i="12"/>
  <c r="H97" i="12"/>
  <c r="H114" i="12"/>
  <c r="H79" i="12"/>
  <c r="H96" i="12"/>
  <c r="H113" i="12"/>
  <c r="H78" i="12"/>
  <c r="H95" i="12"/>
  <c r="H112" i="12"/>
  <c r="H77" i="12"/>
  <c r="H94" i="12"/>
  <c r="H111" i="12"/>
  <c r="H76" i="12"/>
  <c r="H93" i="12"/>
  <c r="H110" i="12"/>
  <c r="H75" i="12"/>
  <c r="H92" i="12"/>
  <c r="H109" i="12"/>
  <c r="F75" i="12"/>
  <c r="F92" i="12"/>
  <c r="F109" i="12"/>
  <c r="H74" i="12"/>
  <c r="H91" i="12"/>
  <c r="H108" i="12"/>
  <c r="F74" i="12"/>
  <c r="F91" i="12"/>
  <c r="F108" i="12"/>
  <c r="H73" i="12"/>
  <c r="H90" i="12"/>
  <c r="H107" i="12"/>
  <c r="F73" i="12"/>
  <c r="F90" i="12"/>
  <c r="F107" i="12"/>
  <c r="H72" i="12"/>
  <c r="H89" i="12"/>
  <c r="H106" i="12"/>
  <c r="F72" i="12"/>
  <c r="F89" i="12"/>
  <c r="F106" i="12"/>
  <c r="E72" i="12"/>
  <c r="E89" i="12"/>
  <c r="E106" i="12"/>
  <c r="H71" i="12"/>
  <c r="H88" i="12"/>
  <c r="H105" i="12"/>
  <c r="F71" i="12"/>
  <c r="F88" i="12"/>
  <c r="F105" i="12"/>
  <c r="E71" i="12"/>
  <c r="E88" i="12"/>
  <c r="E105" i="12"/>
  <c r="H70" i="12"/>
  <c r="H87" i="12"/>
  <c r="H104" i="12"/>
  <c r="F70" i="12"/>
  <c r="F87" i="12"/>
  <c r="F104" i="12"/>
  <c r="E70" i="12"/>
  <c r="E87" i="12"/>
  <c r="E104" i="12"/>
  <c r="D70" i="12"/>
  <c r="D87" i="12"/>
  <c r="D104" i="12"/>
  <c r="H68" i="12"/>
  <c r="G68" i="12"/>
  <c r="F68" i="12"/>
  <c r="E68" i="12"/>
  <c r="D68" i="12"/>
  <c r="H49" i="12"/>
  <c r="H48" i="12"/>
  <c r="H47" i="12"/>
  <c r="H46" i="12"/>
  <c r="H45" i="12"/>
  <c r="H44" i="12"/>
  <c r="G44" i="12"/>
  <c r="H43" i="12"/>
  <c r="G43" i="12"/>
  <c r="H42" i="12"/>
  <c r="G42" i="12"/>
  <c r="H41" i="12"/>
  <c r="G41" i="12"/>
  <c r="H40" i="12"/>
  <c r="G40" i="12"/>
  <c r="F40" i="12"/>
  <c r="H39" i="12"/>
  <c r="G39" i="12"/>
  <c r="F39" i="12"/>
  <c r="H38" i="12"/>
  <c r="G38" i="12"/>
  <c r="F38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D35" i="12"/>
  <c r="A52" i="11"/>
  <c r="B52" i="11"/>
  <c r="H84" i="11"/>
  <c r="H101" i="11"/>
  <c r="H118" i="11"/>
  <c r="H83" i="11"/>
  <c r="H100" i="11"/>
  <c r="H117" i="11"/>
  <c r="H82" i="11"/>
  <c r="H99" i="11"/>
  <c r="H116" i="11"/>
  <c r="H81" i="11"/>
  <c r="H98" i="11"/>
  <c r="H115" i="11"/>
  <c r="H80" i="11"/>
  <c r="H97" i="11"/>
  <c r="H114" i="11"/>
  <c r="H79" i="11"/>
  <c r="H96" i="11"/>
  <c r="H113" i="11"/>
  <c r="H78" i="11"/>
  <c r="H95" i="11"/>
  <c r="H112" i="11"/>
  <c r="H77" i="11"/>
  <c r="H94" i="11"/>
  <c r="H111" i="11"/>
  <c r="H76" i="11"/>
  <c r="H93" i="11"/>
  <c r="H110" i="11"/>
  <c r="H75" i="11"/>
  <c r="H92" i="11"/>
  <c r="H109" i="11"/>
  <c r="F75" i="11"/>
  <c r="F92" i="11"/>
  <c r="F109" i="11"/>
  <c r="H74" i="11"/>
  <c r="H91" i="11"/>
  <c r="H108" i="11"/>
  <c r="F74" i="11"/>
  <c r="F91" i="11"/>
  <c r="F108" i="11"/>
  <c r="H73" i="11"/>
  <c r="H90" i="11"/>
  <c r="H107" i="11"/>
  <c r="F73" i="11"/>
  <c r="F90" i="11"/>
  <c r="F107" i="11"/>
  <c r="H72" i="11"/>
  <c r="H89" i="11"/>
  <c r="H106" i="11"/>
  <c r="F72" i="11"/>
  <c r="F89" i="11"/>
  <c r="F106" i="11"/>
  <c r="E72" i="11"/>
  <c r="E89" i="11"/>
  <c r="E106" i="11"/>
  <c r="H71" i="11"/>
  <c r="H88" i="11"/>
  <c r="H105" i="11"/>
  <c r="F71" i="11"/>
  <c r="F88" i="11"/>
  <c r="F105" i="11"/>
  <c r="E71" i="11"/>
  <c r="E88" i="11"/>
  <c r="E105" i="11"/>
  <c r="H70" i="11"/>
  <c r="H87" i="11"/>
  <c r="H104" i="11"/>
  <c r="F70" i="11"/>
  <c r="F87" i="11"/>
  <c r="F104" i="11"/>
  <c r="E70" i="11"/>
  <c r="E87" i="11"/>
  <c r="E104" i="11"/>
  <c r="D70" i="11"/>
  <c r="D87" i="11"/>
  <c r="D104" i="11"/>
  <c r="H68" i="11"/>
  <c r="G68" i="11"/>
  <c r="F68" i="11"/>
  <c r="E68" i="11"/>
  <c r="D68" i="11"/>
  <c r="H49" i="11"/>
  <c r="H48" i="11"/>
  <c r="H47" i="11"/>
  <c r="H46" i="11"/>
  <c r="H45" i="11"/>
  <c r="H44" i="11"/>
  <c r="G44" i="11"/>
  <c r="H43" i="11"/>
  <c r="G43" i="11"/>
  <c r="H42" i="11"/>
  <c r="G42" i="11"/>
  <c r="H41" i="11"/>
  <c r="G41" i="11"/>
  <c r="H40" i="11"/>
  <c r="G40" i="11"/>
  <c r="F40" i="11"/>
  <c r="H39" i="11"/>
  <c r="G39" i="11"/>
  <c r="F39" i="11"/>
  <c r="H38" i="11"/>
  <c r="G38" i="11"/>
  <c r="F38" i="11"/>
  <c r="H37" i="11"/>
  <c r="G37" i="11"/>
  <c r="F37" i="11"/>
  <c r="E37" i="11"/>
  <c r="H36" i="11"/>
  <c r="G36" i="11"/>
  <c r="F36" i="11"/>
  <c r="E36" i="11"/>
  <c r="H35" i="11"/>
  <c r="G35" i="11"/>
  <c r="F35" i="11"/>
  <c r="E35" i="11"/>
  <c r="D35" i="11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38" i="9"/>
  <c r="G39" i="9"/>
  <c r="G40" i="9"/>
  <c r="G41" i="9"/>
  <c r="G42" i="9"/>
  <c r="G43" i="9"/>
  <c r="G44" i="9"/>
  <c r="G45" i="9"/>
  <c r="G46" i="9"/>
  <c r="F38" i="9"/>
  <c r="F39" i="9"/>
  <c r="F40" i="9"/>
  <c r="F41" i="9"/>
  <c r="F42" i="9"/>
  <c r="E38" i="9"/>
  <c r="E39" i="9"/>
  <c r="E37" i="9"/>
  <c r="F37" i="9"/>
  <c r="G37" i="9"/>
  <c r="H37" i="9"/>
  <c r="D37" i="9"/>
  <c r="G7" i="9"/>
  <c r="G8" i="9"/>
  <c r="H73" i="9"/>
  <c r="H90" i="9"/>
  <c r="H107" i="9"/>
  <c r="H74" i="9"/>
  <c r="H91" i="9"/>
  <c r="H108" i="9"/>
  <c r="H75" i="9"/>
  <c r="H92" i="9"/>
  <c r="H109" i="9"/>
  <c r="H76" i="9"/>
  <c r="H93" i="9"/>
  <c r="H110" i="9"/>
  <c r="H77" i="9"/>
  <c r="H94" i="9"/>
  <c r="H111" i="9"/>
  <c r="H78" i="9"/>
  <c r="H95" i="9"/>
  <c r="H112" i="9"/>
  <c r="H79" i="9"/>
  <c r="H96" i="9"/>
  <c r="H113" i="9"/>
  <c r="H80" i="9"/>
  <c r="H97" i="9"/>
  <c r="H114" i="9"/>
  <c r="H81" i="9"/>
  <c r="H98" i="9"/>
  <c r="H115" i="9"/>
  <c r="H82" i="9"/>
  <c r="H99" i="9"/>
  <c r="H116" i="9"/>
  <c r="H83" i="9"/>
  <c r="H100" i="9"/>
  <c r="H117" i="9"/>
  <c r="H84" i="9"/>
  <c r="H101" i="9"/>
  <c r="H118" i="9"/>
  <c r="H85" i="9"/>
  <c r="H102" i="9"/>
  <c r="H119" i="9"/>
  <c r="H86" i="9"/>
  <c r="H103" i="9"/>
  <c r="H120" i="9"/>
  <c r="G73" i="9"/>
  <c r="G90" i="9"/>
  <c r="G107" i="9"/>
  <c r="G74" i="9"/>
  <c r="G91" i="9"/>
  <c r="G108" i="9"/>
  <c r="G75" i="9"/>
  <c r="G92" i="9"/>
  <c r="G109" i="9"/>
  <c r="G76" i="9"/>
  <c r="G93" i="9"/>
  <c r="G110" i="9"/>
  <c r="G77" i="9"/>
  <c r="G94" i="9"/>
  <c r="G111" i="9"/>
  <c r="G78" i="9"/>
  <c r="G95" i="9"/>
  <c r="G112" i="9"/>
  <c r="G79" i="9"/>
  <c r="G96" i="9"/>
  <c r="G113" i="9"/>
  <c r="G80" i="9"/>
  <c r="G97" i="9"/>
  <c r="G114" i="9"/>
  <c r="G81" i="9"/>
  <c r="G98" i="9"/>
  <c r="G115" i="9"/>
  <c r="F73" i="9"/>
  <c r="F90" i="9"/>
  <c r="F107" i="9"/>
  <c r="F74" i="9"/>
  <c r="F91" i="9"/>
  <c r="F108" i="9"/>
  <c r="F75" i="9"/>
  <c r="F92" i="9"/>
  <c r="F109" i="9"/>
  <c r="F76" i="9"/>
  <c r="F93" i="9"/>
  <c r="F110" i="9"/>
  <c r="F77" i="9"/>
  <c r="F94" i="9"/>
  <c r="F111" i="9"/>
  <c r="E73" i="9"/>
  <c r="E90" i="9"/>
  <c r="E107" i="9"/>
  <c r="E74" i="9"/>
  <c r="E91" i="9"/>
  <c r="E108" i="9"/>
  <c r="E72" i="9"/>
  <c r="E89" i="9"/>
  <c r="E106" i="9"/>
  <c r="F72" i="9"/>
  <c r="F89" i="9"/>
  <c r="F106" i="9"/>
  <c r="G72" i="9"/>
  <c r="G89" i="9"/>
  <c r="G106" i="9"/>
  <c r="H72" i="9"/>
  <c r="H89" i="9"/>
  <c r="H106" i="9"/>
  <c r="D72" i="9"/>
  <c r="D89" i="9"/>
  <c r="D106" i="9"/>
  <c r="E70" i="9"/>
  <c r="F70" i="9"/>
  <c r="G70" i="9"/>
  <c r="H70" i="9"/>
  <c r="D70" i="9"/>
  <c r="B8" i="5"/>
  <c r="B11" i="5"/>
  <c r="B9" i="5"/>
  <c r="C12" i="5"/>
  <c r="D13" i="5"/>
  <c r="C11" i="5"/>
  <c r="D12" i="5"/>
  <c r="D11" i="5"/>
  <c r="D7" i="5"/>
  <c r="E11" i="5"/>
  <c r="F11" i="5"/>
  <c r="G11" i="5"/>
  <c r="H11" i="5"/>
  <c r="I11" i="5"/>
  <c r="J11" i="5"/>
  <c r="K11" i="5"/>
  <c r="L11" i="5"/>
  <c r="E12" i="5"/>
  <c r="F12" i="5"/>
  <c r="G12" i="5"/>
  <c r="H12" i="5"/>
  <c r="I12" i="5"/>
  <c r="J12" i="5"/>
  <c r="K12" i="5"/>
  <c r="L12" i="5"/>
  <c r="E13" i="5"/>
  <c r="F13" i="5"/>
  <c r="G13" i="5"/>
  <c r="H13" i="5"/>
  <c r="I13" i="5"/>
  <c r="J13" i="5"/>
  <c r="K13" i="5"/>
  <c r="L13" i="5"/>
  <c r="E14" i="5"/>
  <c r="F14" i="5"/>
  <c r="G14" i="5"/>
  <c r="H14" i="5"/>
  <c r="I14" i="5"/>
  <c r="J14" i="5"/>
  <c r="K14" i="5"/>
  <c r="L14" i="5"/>
  <c r="F15" i="5"/>
  <c r="G15" i="5"/>
  <c r="H15" i="5"/>
  <c r="I15" i="5"/>
  <c r="J15" i="5"/>
  <c r="K15" i="5"/>
  <c r="L15" i="5"/>
  <c r="G16" i="5"/>
  <c r="H16" i="5"/>
  <c r="I16" i="5"/>
  <c r="J16" i="5"/>
  <c r="K16" i="5"/>
  <c r="L16" i="5"/>
  <c r="H17" i="5"/>
  <c r="I17" i="5"/>
  <c r="J17" i="5"/>
  <c r="K17" i="5"/>
  <c r="L17" i="5"/>
  <c r="I18" i="5"/>
  <c r="J18" i="5"/>
  <c r="K18" i="5"/>
  <c r="L18" i="5"/>
  <c r="J19" i="5"/>
  <c r="K19" i="5"/>
  <c r="L19" i="5"/>
  <c r="K20" i="5"/>
  <c r="L20" i="5"/>
  <c r="L21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D26" i="5"/>
  <c r="E26" i="5"/>
  <c r="F26" i="5"/>
  <c r="G26" i="5"/>
  <c r="H26" i="5"/>
  <c r="I26" i="5"/>
  <c r="J26" i="5"/>
  <c r="K26" i="5"/>
  <c r="L26" i="5"/>
  <c r="E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L28" i="5"/>
  <c r="G29" i="5"/>
  <c r="H29" i="5"/>
  <c r="I29" i="5"/>
  <c r="J29" i="5"/>
  <c r="K29" i="5"/>
  <c r="L29" i="5"/>
  <c r="H30" i="5"/>
  <c r="I30" i="5"/>
  <c r="J30" i="5"/>
  <c r="K30" i="5"/>
  <c r="L30" i="5"/>
  <c r="I31" i="5"/>
  <c r="J31" i="5"/>
  <c r="K31" i="5"/>
  <c r="L31" i="5"/>
  <c r="J32" i="5"/>
  <c r="K32" i="5"/>
  <c r="L32" i="5"/>
  <c r="K33" i="5"/>
  <c r="L33" i="5"/>
  <c r="L34" i="5"/>
  <c r="B36" i="5"/>
  <c r="C36" i="5"/>
  <c r="D36" i="5"/>
  <c r="E36" i="5"/>
  <c r="F36" i="5"/>
  <c r="G36" i="5"/>
  <c r="H36" i="5"/>
  <c r="I36" i="5"/>
  <c r="J36" i="5"/>
  <c r="K36" i="5"/>
  <c r="L36" i="5"/>
</calcChain>
</file>

<file path=xl/comments1.xml><?xml version="1.0" encoding="utf-8"?>
<comments xmlns="http://schemas.openxmlformats.org/spreadsheetml/2006/main">
  <authors>
    <author>Bryan Palmintier</author>
  </authors>
  <commentList>
    <comment ref="G9" authorId="0">
      <text>
        <r>
          <rPr>
            <b/>
            <sz val="9"/>
            <color indexed="81"/>
            <rFont val="Arial"/>
          </rPr>
          <t>Bryan Palmintier:</t>
        </r>
        <r>
          <rPr>
            <sz val="9"/>
            <color indexed="81"/>
            <rFont val="Arial"/>
          </rPr>
          <t xml:space="preserve">
The orage fill boxes allow for manually entering hi, mid, &amp; lo factors for better transportability to other applicaions. The boxes to the right providethe exact computed values based on other entries</t>
        </r>
      </text>
    </comment>
    <comment ref="H12" authorId="0">
      <text>
        <r>
          <rPr>
            <b/>
            <sz val="9"/>
            <color indexed="81"/>
            <rFont val="Arial"/>
          </rPr>
          <t>Bryan Palmintier:</t>
        </r>
        <r>
          <rPr>
            <sz val="9"/>
            <color indexed="81"/>
            <rFont val="Arial"/>
          </rPr>
          <t xml:space="preserve">
Force values to round to the specified number of digits (unrounded series based on lattice factors directly, not previously rounded numbers). Leave blank for no rounding</t>
        </r>
      </text>
    </comment>
  </commentList>
</comments>
</file>

<file path=xl/comments2.xml><?xml version="1.0" encoding="utf-8"?>
<comments xmlns="http://schemas.openxmlformats.org/spreadsheetml/2006/main">
  <authors>
    <author>Bryan Palmintier</author>
  </authors>
  <commentList>
    <comment ref="G9" authorId="0">
      <text>
        <r>
          <rPr>
            <b/>
            <sz val="9"/>
            <color indexed="81"/>
            <rFont val="Arial"/>
          </rPr>
          <t>Bryan Palmintier:</t>
        </r>
        <r>
          <rPr>
            <sz val="9"/>
            <color indexed="81"/>
            <rFont val="Arial"/>
          </rPr>
          <t xml:space="preserve">
The orage fill boxes allow for manually entering hi, mid, &amp; lo factors for better transportability to other applicaions. The boxes to the right providethe exact computed values based on other entries</t>
        </r>
      </text>
    </comment>
    <comment ref="H12" authorId="0">
      <text>
        <r>
          <rPr>
            <b/>
            <sz val="9"/>
            <color indexed="81"/>
            <rFont val="Arial"/>
          </rPr>
          <t>Bryan Palmintier:</t>
        </r>
        <r>
          <rPr>
            <sz val="9"/>
            <color indexed="81"/>
            <rFont val="Arial"/>
          </rPr>
          <t xml:space="preserve">
Force values to round to the specified number of digits (unrounded series based on lattice factors directly, not previously rounded numbers). Leave blank for no rounding</t>
        </r>
      </text>
    </comment>
  </commentList>
</comments>
</file>

<file path=xl/sharedStrings.xml><?xml version="1.0" encoding="utf-8"?>
<sst xmlns="http://schemas.openxmlformats.org/spreadsheetml/2006/main" count="236" uniqueCount="105">
  <si>
    <t>Downside factor</t>
  </si>
  <si>
    <t>t = 0</t>
  </si>
  <si>
    <t>t = 1</t>
  </si>
  <si>
    <t>t = 2</t>
  </si>
  <si>
    <t>t = 3</t>
  </si>
  <si>
    <t>t = 4</t>
  </si>
  <si>
    <t>t = 5</t>
  </si>
  <si>
    <t>t = 6</t>
  </si>
  <si>
    <t>t = 7</t>
  </si>
  <si>
    <t>t = 8</t>
  </si>
  <si>
    <t>t = 9</t>
  </si>
  <si>
    <t>t = 10</t>
  </si>
  <si>
    <t>Probabilities:</t>
  </si>
  <si>
    <t>Cumulative Prob</t>
  </si>
  <si>
    <t>Prob up</t>
  </si>
  <si>
    <t>Prob down</t>
  </si>
  <si>
    <t>Upside factor</t>
  </si>
  <si>
    <t>Based on ESD.71 Binomial Tree Model 2009 as updated on 11/02/2009 by Michel-Alexandre Cardin (macardin@mit.edu)</t>
  </si>
  <si>
    <t>Max Value</t>
  </si>
  <si>
    <t>Min Value</t>
  </si>
  <si>
    <t>Starting value</t>
  </si>
  <si>
    <t>Final Period</t>
  </si>
  <si>
    <t>Created 2011-11-09 by Bryan Palmintier</t>
  </si>
  <si>
    <t>Binary Lattice PDF Tester (specified value range)</t>
  </si>
  <si>
    <t>Trinomial Lattice PDF Tester (specified value range)</t>
  </si>
  <si>
    <t>Value</t>
  </si>
  <si>
    <t>mid</t>
  </si>
  <si>
    <t>low</t>
  </si>
  <si>
    <t>Prob hi</t>
  </si>
  <si>
    <t>Prob mid</t>
  </si>
  <si>
    <t>Prob low</t>
  </si>
  <si>
    <t>Hi factor</t>
  </si>
  <si>
    <t>Mid factor</t>
  </si>
  <si>
    <t>Lo factor</t>
  </si>
  <si>
    <t>Insert Spacer</t>
  </si>
  <si>
    <t>CDF</t>
  </si>
  <si>
    <t xml:space="preserve">For repeated values across time set one factor (hi, mid, lo) equal to 1, and the other factors to form a geometric series. </t>
  </si>
  <si>
    <t>CDF Minus PMF at corresponding point</t>
  </si>
  <si>
    <t>PMF at corresponding point</t>
  </si>
  <si>
    <t>Adjust Prob Hi to skew distribution</t>
  </si>
  <si>
    <t>Be careful with prob mid, a value of 1/3 is good, Other values can cause some clumping</t>
  </si>
  <si>
    <t>Reference Value</t>
  </si>
  <si>
    <t>Ratio</t>
  </si>
  <si>
    <r>
      <rPr>
        <b/>
        <sz val="12"/>
        <rFont val="Calibri"/>
      </rPr>
      <t>Why Not to use this:</t>
    </r>
    <r>
      <rPr>
        <sz val="12"/>
        <rFont val="Calibri"/>
      </rPr>
      <t xml:space="preserve"> For a single dynamic dimension, a binary lattice with more periods will provably provide identical solutions</t>
    </r>
  </si>
  <si>
    <r>
      <rPr>
        <b/>
        <sz val="12"/>
        <rFont val="Calibri"/>
      </rPr>
      <t>Why use this:</t>
    </r>
    <r>
      <rPr>
        <sz val="12"/>
        <rFont val="Calibri"/>
      </rPr>
      <t xml:space="preserve"> If the lattice is part of a larger problem, the number of unique states may be (far) smaller</t>
    </r>
  </si>
  <si>
    <t>Coal with CCS Cost Distribution</t>
  </si>
  <si>
    <t>EIA Coal+CCS Baseline</t>
  </si>
  <si>
    <t>Use mid = hi*sqrt(hi/low) for a geometric series. A geometric series offers more recombinations</t>
  </si>
  <si>
    <t>Cap Credit</t>
  </si>
  <si>
    <t>Peaker Cost</t>
  </si>
  <si>
    <t>Avg Avail</t>
  </si>
  <si>
    <t>Equiv Cost</t>
  </si>
  <si>
    <t>Eq Firm Cost</t>
  </si>
  <si>
    <t>Scaling?</t>
  </si>
  <si>
    <t>Coal Cost (ref for Ratio)</t>
  </si>
  <si>
    <t>Wind Cost (including Subsidy) Distribution</t>
  </si>
  <si>
    <t>Initial Period</t>
  </si>
  <si>
    <t>Final Max Value</t>
  </si>
  <si>
    <t>Final Min Value</t>
  </si>
  <si>
    <t>EIA AEO Wind Baseline</t>
  </si>
  <si>
    <t>Wind Baseline (ref for Ratio)</t>
  </si>
  <si>
    <t>Coal</t>
  </si>
  <si>
    <t>Nuke</t>
  </si>
  <si>
    <t>type</t>
  </si>
  <si>
    <t>[code]</t>
  </si>
  <si>
    <t>ng_cc</t>
  </si>
  <si>
    <t>ng_gt</t>
  </si>
  <si>
    <t>wind</t>
  </si>
  <si>
    <t>ng_cc_ccs</t>
  </si>
  <si>
    <t>[$/kW]</t>
  </si>
  <si>
    <t>Coal CCS</t>
  </si>
  <si>
    <t>base cost</t>
  </si>
  <si>
    <t>init ratio</t>
  </si>
  <si>
    <t>max ratio</t>
  </si>
  <si>
    <t>min ratio</t>
  </si>
  <si>
    <t>firm ratio</t>
  </si>
  <si>
    <t>max eq ratio</t>
  </si>
  <si>
    <t>min  eq ratio</t>
  </si>
  <si>
    <t>Capital Cost</t>
  </si>
  <si>
    <t>Eq Ratio</t>
  </si>
  <si>
    <t>init eq ratio</t>
  </si>
  <si>
    <t>Max Likely Value</t>
  </si>
  <si>
    <t>MLE eq ratio</t>
  </si>
  <si>
    <t>MLE Firm Cost</t>
  </si>
  <si>
    <t>Expected Value:</t>
  </si>
  <si>
    <t>Scaling</t>
  </si>
  <si>
    <t>Round To</t>
  </si>
  <si>
    <t>digits</t>
  </si>
  <si>
    <t>factor</t>
  </si>
  <si>
    <t>RoundTo</t>
  </si>
  <si>
    <t>Scale</t>
  </si>
  <si>
    <t>Period for Range</t>
  </si>
  <si>
    <t>Name:</t>
  </si>
  <si>
    <t>time0</t>
  </si>
  <si>
    <t>time1</t>
  </si>
  <si>
    <t>time2</t>
  </si>
  <si>
    <t>time3</t>
  </si>
  <si>
    <t>time4</t>
  </si>
  <si>
    <t>Created 2011-11-09 by Bryan Palmintier, Updated: 2012-01-11 BSP,</t>
  </si>
  <si>
    <t>Ratio (to Start)</t>
  </si>
  <si>
    <t>Ratio (to Reference)</t>
  </si>
  <si>
    <t>Scaling (To Start)</t>
  </si>
  <si>
    <t>Natural Gas Price Random Walk. (Loosely based on NWPP projections with 2030 EV price equal to EIA)</t>
  </si>
  <si>
    <t>Data Values added 2012-01-10 by Bryan Palmintier, Based on Template: 2012-01-11 BSP,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</si>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</sst>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000"/>
    <numFmt numFmtId="167" formatCode="#,##0;[Red]#,##0"/>
    <numFmt numFmtId="179" formatCode="0.00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</font>
    <font>
      <b/>
      <sz val="12"/>
      <name val="Calibri"/>
    </font>
    <font>
      <sz val="12"/>
      <name val="Calibri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name val="Calibri"/>
      <scheme val="minor"/>
    </font>
    <font>
      <b/>
      <sz val="14"/>
      <name val="Calibri"/>
      <scheme val="minor"/>
    </font>
    <font>
      <sz val="12"/>
      <name val="Calibri"/>
      <scheme val="minor"/>
    </font>
    <font>
      <i/>
      <sz val="12"/>
      <name val="Calibri"/>
      <scheme val="minor"/>
    </font>
    <font>
      <b/>
      <sz val="12"/>
      <color rgb="FF00000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6" fillId="2" borderId="1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0" borderId="2" applyNumberFormat="0" applyFill="0" applyAlignment="0" applyProtection="0"/>
    <xf numFmtId="0" fontId="10" fillId="4" borderId="1" applyNumberFormat="0" applyAlignment="0" applyProtection="0"/>
    <xf numFmtId="0" fontId="3" fillId="5" borderId="3" applyNumberFormat="0" applyFont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6" fillId="2" borderId="1" xfId="1"/>
    <xf numFmtId="0" fontId="10" fillId="4" borderId="1" xfId="6"/>
    <xf numFmtId="0" fontId="11" fillId="0" borderId="0" xfId="0" applyFont="1"/>
    <xf numFmtId="0" fontId="10" fillId="4" borderId="1" xfId="6" applyFont="1"/>
    <xf numFmtId="0" fontId="6" fillId="2" borderId="1" xfId="1" applyFont="1"/>
    <xf numFmtId="0" fontId="12" fillId="0" borderId="0" xfId="0" applyFont="1"/>
    <xf numFmtId="0" fontId="13" fillId="0" borderId="0" xfId="0" applyFont="1"/>
    <xf numFmtId="0" fontId="13" fillId="0" borderId="0" xfId="0" applyFont="1" applyFill="1" applyAlignment="1">
      <alignment horizontal="center"/>
    </xf>
    <xf numFmtId="9" fontId="13" fillId="0" borderId="0" xfId="0" applyNumberFormat="1" applyFont="1" applyFill="1" applyAlignment="1">
      <alignment horizontal="right"/>
    </xf>
    <xf numFmtId="0" fontId="13" fillId="0" borderId="0" xfId="0" applyFont="1" applyFill="1"/>
    <xf numFmtId="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right"/>
    </xf>
    <xf numFmtId="3" fontId="13" fillId="0" borderId="0" xfId="0" applyNumberFormat="1" applyFont="1" applyFill="1"/>
    <xf numFmtId="9" fontId="13" fillId="0" borderId="0" xfId="0" applyNumberFormat="1" applyFont="1" applyFill="1"/>
    <xf numFmtId="9" fontId="13" fillId="0" borderId="0" xfId="0" applyNumberFormat="1" applyFont="1"/>
    <xf numFmtId="0" fontId="11" fillId="0" borderId="0" xfId="0" applyFont="1" applyAlignment="1">
      <alignment horizontal="center"/>
    </xf>
    <xf numFmtId="2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43" fontId="13" fillId="0" borderId="0" xfId="2" applyFont="1"/>
    <xf numFmtId="1" fontId="11" fillId="0" borderId="0" xfId="0" applyNumberFormat="1" applyFont="1" applyAlignment="1">
      <alignment horizontal="center"/>
    </xf>
    <xf numFmtId="167" fontId="13" fillId="0" borderId="0" xfId="0" applyNumberFormat="1" applyFont="1" applyBorder="1"/>
    <xf numFmtId="0" fontId="7" fillId="0" borderId="0" xfId="3"/>
    <xf numFmtId="0" fontId="9" fillId="0" borderId="2" xfId="5"/>
    <xf numFmtId="0" fontId="13" fillId="5" borderId="3" xfId="7" applyFont="1"/>
    <xf numFmtId="0" fontId="8" fillId="3" borderId="1" xfId="4" applyBorder="1"/>
    <xf numFmtId="0" fontId="14" fillId="6" borderId="0" xfId="0" applyFont="1" applyFill="1"/>
    <xf numFmtId="0" fontId="13" fillId="0" borderId="0" xfId="0" applyFont="1" applyAlignment="1">
      <alignment horizontal="right"/>
    </xf>
    <xf numFmtId="2" fontId="10" fillId="4" borderId="1" xfId="6" applyNumberFormat="1" applyFont="1"/>
    <xf numFmtId="2" fontId="6" fillId="2" borderId="1" xfId="1" applyNumberFormat="1" applyFont="1"/>
    <xf numFmtId="9" fontId="10" fillId="4" borderId="1" xfId="6" applyNumberForma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0" fillId="4" borderId="1" xfId="6" applyNumberFormat="1"/>
    <xf numFmtId="0" fontId="15" fillId="0" borderId="0" xfId="0" applyFont="1"/>
    <xf numFmtId="0" fontId="16" fillId="0" borderId="0" xfId="0" applyFont="1"/>
    <xf numFmtId="1" fontId="16" fillId="0" borderId="0" xfId="0" applyNumberFormat="1" applyFont="1"/>
    <xf numFmtId="179" fontId="13" fillId="0" borderId="0" xfId="0" applyNumberFormat="1" applyFont="1"/>
    <xf numFmtId="1" fontId="6" fillId="2" borderId="1" xfId="1" applyNumberFormat="1"/>
    <xf numFmtId="165" fontId="10" fillId="4" borderId="1" xfId="6" applyNumberFormat="1"/>
    <xf numFmtId="10" fontId="13" fillId="0" borderId="0" xfId="8" applyNumberFormat="1" applyFont="1"/>
  </cellXfs>
  <cellStyles count="9">
    <cellStyle name="Calculation" xfId="1" builtinId="22"/>
    <cellStyle name="Comma" xfId="2" builtinId="3"/>
    <cellStyle name="Explanatory Text" xfId="3" builtinId="53"/>
    <cellStyle name="Good" xfId="4" builtinId="26"/>
    <cellStyle name="Heading 1" xfId="5" builtinId="16"/>
    <cellStyle name="Input" xfId="6" builtinId="20"/>
    <cellStyle name="Normal" xfId="0" builtinId="0"/>
    <cellStyle name="Note" xfId="7" builtinId="10"/>
    <cellStyle name="Percent" xfId="8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fgColor indexed="64"/>
          <bgColor indexed="65"/>
        </patternFill>
      </fill>
    </dxf>
    <dxf>
      <font>
        <color theme="0" tint="-0.499984740745262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Mass Function</a:t>
            </a:r>
          </a:p>
        </c:rich>
      </c:tx>
      <c:layout>
        <c:manualLayout>
          <c:xMode val="edge"/>
          <c:yMode val="edge"/>
          <c:x val="0.25765157480315"/>
          <c:y val="0.046908112730252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83116129196"/>
          <c:y val="0.18333393012347"/>
          <c:w val="0.633310777559055"/>
          <c:h val="0.616668674051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'Coal CCS'!$G$13</c:f>
              <c:strCache>
                <c:ptCount val="1"/>
                <c:pt idx="0">
                  <c:v>2040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'Coal CCS'!$G$15:$G$24</c:f>
              <c:numCache>
                <c:formatCode>0.00</c:formatCode>
                <c:ptCount val="10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  <c:pt idx="3">
                  <c:v>5320.0</c:v>
                </c:pt>
                <c:pt idx="4">
                  <c:v>4850.0</c:v>
                </c:pt>
                <c:pt idx="5">
                  <c:v>4420.0</c:v>
                </c:pt>
                <c:pt idx="6">
                  <c:v>4850.0</c:v>
                </c:pt>
                <c:pt idx="7">
                  <c:v>4420.0</c:v>
                </c:pt>
                <c:pt idx="8">
                  <c:v>4020.0</c:v>
                </c:pt>
                <c:pt idx="9">
                  <c:v>3670.0</c:v>
                </c:pt>
              </c:numCache>
            </c:numRef>
          </c:xVal>
          <c:yVal>
            <c:numRef>
              <c:f>'Coal CCS'!$G$104:$G$113</c:f>
              <c:numCache>
                <c:formatCode>0.00</c:formatCode>
                <c:ptCount val="10"/>
                <c:pt idx="0">
                  <c:v>0.00800000000000001</c:v>
                </c:pt>
                <c:pt idx="1">
                  <c:v>0.036</c:v>
                </c:pt>
                <c:pt idx="2">
                  <c:v>0.114</c:v>
                </c:pt>
                <c:pt idx="3">
                  <c:v>0.114</c:v>
                </c:pt>
                <c:pt idx="4">
                  <c:v>0.207</c:v>
                </c:pt>
                <c:pt idx="5">
                  <c:v>0.285</c:v>
                </c:pt>
                <c:pt idx="6">
                  <c:v>0.207</c:v>
                </c:pt>
                <c:pt idx="7">
                  <c:v>0.285</c:v>
                </c:pt>
                <c:pt idx="8">
                  <c:v>0.225</c:v>
                </c:pt>
                <c:pt idx="9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'Coal CCS'!$E$13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noFill/>
            </a:ln>
          </c:spPr>
          <c:xVal>
            <c:numRef>
              <c:f>'Coal CCS'!$E$15:$E$17</c:f>
              <c:numCache>
                <c:formatCode>0.00</c:formatCode>
                <c:ptCount val="3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</c:numCache>
            </c:numRef>
          </c:xVal>
          <c:yVal>
            <c:numRef>
              <c:f>'Coal CCS'!$E$104:$E$106</c:f>
              <c:numCache>
                <c:formatCode>0.00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'Coal CCS'!$F$13</c:f>
              <c:strCache>
                <c:ptCount val="1"/>
                <c:pt idx="0">
                  <c:v>2030</c:v>
                </c:pt>
              </c:strCache>
            </c:strRef>
          </c:tx>
          <c:spPr>
            <a:ln w="25400">
              <a:noFill/>
            </a:ln>
          </c:spPr>
          <c:xVal>
            <c:numRef>
              <c:f>'Coal CCS'!$F$15:$F$20</c:f>
              <c:numCache>
                <c:formatCode>0.00</c:formatCode>
                <c:ptCount val="6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  <c:pt idx="3">
                  <c:v>5320.0</c:v>
                </c:pt>
                <c:pt idx="4">
                  <c:v>4850.0</c:v>
                </c:pt>
                <c:pt idx="5">
                  <c:v>4420.0</c:v>
                </c:pt>
              </c:numCache>
            </c:numRef>
          </c:xVal>
          <c:yVal>
            <c:numRef>
              <c:f>'Coal CCS'!$F$104:$F$109</c:f>
              <c:numCache>
                <c:formatCode>0.00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0.29</c:v>
                </c:pt>
                <c:pt idx="3">
                  <c:v>0.29</c:v>
                </c:pt>
                <c:pt idx="4">
                  <c:v>0.3</c:v>
                </c:pt>
                <c:pt idx="5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79416"/>
        <c:axId val="551386168"/>
      </c:scatterChart>
      <c:valAx>
        <c:axId val="550579416"/>
        <c:scaling>
          <c:orientation val="minMax"/>
          <c:min val="3000.0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Coal CCS Capital Cost ($/MW)</a:t>
                </a:r>
              </a:p>
            </c:rich>
          </c:tx>
          <c:layout>
            <c:manualLayout>
              <c:xMode val="edge"/>
              <c:yMode val="edge"/>
              <c:x val="0.224637057086614"/>
              <c:y val="0.8995475113122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386168"/>
        <c:crosses val="autoZero"/>
        <c:crossBetween val="midCat"/>
      </c:valAx>
      <c:valAx>
        <c:axId val="55138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8838582677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5794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Probability Function</a:t>
            </a:r>
          </a:p>
        </c:rich>
      </c:tx>
      <c:layout>
        <c:manualLayout>
          <c:xMode val="edge"/>
          <c:yMode val="edge"/>
          <c:x val="0.217747577225924"/>
          <c:y val="0.037858338974596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83116129196"/>
          <c:y val="0.18333393012347"/>
          <c:w val="0.632589592166364"/>
          <c:h val="0.616668674051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'Coal CCS'!$G$13</c:f>
              <c:strCache>
                <c:ptCount val="1"/>
                <c:pt idx="0">
                  <c:v>2040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'Coal CCS'!$G$15:$G$24</c:f>
              <c:numCache>
                <c:formatCode>0.00</c:formatCode>
                <c:ptCount val="10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  <c:pt idx="3">
                  <c:v>5320.0</c:v>
                </c:pt>
                <c:pt idx="4">
                  <c:v>4850.0</c:v>
                </c:pt>
                <c:pt idx="5">
                  <c:v>4420.0</c:v>
                </c:pt>
                <c:pt idx="6">
                  <c:v>4850.0</c:v>
                </c:pt>
                <c:pt idx="7">
                  <c:v>4420.0</c:v>
                </c:pt>
                <c:pt idx="8">
                  <c:v>4020.0</c:v>
                </c:pt>
                <c:pt idx="9">
                  <c:v>3670.0</c:v>
                </c:pt>
              </c:numCache>
            </c:numRef>
          </c:xVal>
          <c:yVal>
            <c:numRef>
              <c:f>'Coal CCS'!$G$70:$G$79</c:f>
              <c:numCache>
                <c:formatCode>0.00</c:formatCode>
                <c:ptCount val="10"/>
                <c:pt idx="0">
                  <c:v>1.0</c:v>
                </c:pt>
                <c:pt idx="1">
                  <c:v>0.992</c:v>
                </c:pt>
                <c:pt idx="2">
                  <c:v>0.956</c:v>
                </c:pt>
                <c:pt idx="3">
                  <c:v>0.956</c:v>
                </c:pt>
                <c:pt idx="4">
                  <c:v>0.842</c:v>
                </c:pt>
                <c:pt idx="5">
                  <c:v>0.635</c:v>
                </c:pt>
                <c:pt idx="6">
                  <c:v>0.842</c:v>
                </c:pt>
                <c:pt idx="7">
                  <c:v>0.635</c:v>
                </c:pt>
                <c:pt idx="8">
                  <c:v>0.35</c:v>
                </c:pt>
                <c:pt idx="9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'Coal CCS'!$E$13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noFill/>
            </a:ln>
          </c:spPr>
          <c:xVal>
            <c:numRef>
              <c:f>'Coal CCS'!$E$15:$E$17</c:f>
              <c:numCache>
                <c:formatCode>0.00</c:formatCode>
                <c:ptCount val="3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</c:numCache>
            </c:numRef>
          </c:xVal>
          <c:yVal>
            <c:numRef>
              <c:f>'Coal CCS'!$E$70:$E$72</c:f>
              <c:numCache>
                <c:formatCode>0.00</c:formatCode>
                <c:ptCount val="3"/>
                <c:pt idx="0">
                  <c:v>1.0</c:v>
                </c:pt>
                <c:pt idx="1">
                  <c:v>0.8</c:v>
                </c:pt>
                <c:pt idx="2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'Coal CCS'!$F$13</c:f>
              <c:strCache>
                <c:ptCount val="1"/>
                <c:pt idx="0">
                  <c:v>2030</c:v>
                </c:pt>
              </c:strCache>
            </c:strRef>
          </c:tx>
          <c:spPr>
            <a:ln w="25400">
              <a:noFill/>
            </a:ln>
          </c:spPr>
          <c:xVal>
            <c:numRef>
              <c:f>'Coal CCS'!$F$15:$F$20</c:f>
              <c:numCache>
                <c:formatCode>0.00</c:formatCode>
                <c:ptCount val="6"/>
                <c:pt idx="0">
                  <c:v>6410.0</c:v>
                </c:pt>
                <c:pt idx="1">
                  <c:v>5840.0</c:v>
                </c:pt>
                <c:pt idx="2">
                  <c:v>5320.0</c:v>
                </c:pt>
                <c:pt idx="3">
                  <c:v>5320.0</c:v>
                </c:pt>
                <c:pt idx="4">
                  <c:v>4850.0</c:v>
                </c:pt>
                <c:pt idx="5">
                  <c:v>4420.0</c:v>
                </c:pt>
              </c:numCache>
            </c:numRef>
          </c:xVal>
          <c:yVal>
            <c:numRef>
              <c:f>'Coal CCS'!$F$70:$F$75</c:f>
              <c:numCache>
                <c:formatCode>0.00</c:formatCode>
                <c:ptCount val="6"/>
                <c:pt idx="0">
                  <c:v>1.0</c:v>
                </c:pt>
                <c:pt idx="1">
                  <c:v>0.96</c:v>
                </c:pt>
                <c:pt idx="2">
                  <c:v>0.84</c:v>
                </c:pt>
                <c:pt idx="3">
                  <c:v>0.84</c:v>
                </c:pt>
                <c:pt idx="4">
                  <c:v>0.55</c:v>
                </c:pt>
                <c:pt idx="5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84040"/>
        <c:axId val="535503736"/>
      </c:scatterChart>
      <c:valAx>
        <c:axId val="521784040"/>
        <c:scaling>
          <c:orientation val="minMax"/>
          <c:min val="3000.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7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Coal CCS Capital Cost ($/MW)</a:t>
                </a:r>
              </a:p>
            </c:rich>
          </c:tx>
          <c:layout>
            <c:manualLayout>
              <c:xMode val="edge"/>
              <c:yMode val="edge"/>
              <c:x val="0.248050928730063"/>
              <c:y val="0.8990526240780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503736"/>
        <c:crosses val="autoZero"/>
        <c:crossBetween val="midCat"/>
      </c:valAx>
      <c:valAx>
        <c:axId val="53550373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991116495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4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Mass Function</a:t>
            </a:r>
          </a:p>
        </c:rich>
      </c:tx>
      <c:layout>
        <c:manualLayout>
          <c:xMode val="edge"/>
          <c:yMode val="edge"/>
          <c:x val="0.31390157480315"/>
          <c:y val="0.03333345209676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83116129196"/>
          <c:y val="0.18333393012347"/>
          <c:w val="0.661435683768228"/>
          <c:h val="0.616668674051673"/>
        </c:manualLayout>
      </c:layout>
      <c:scatterChart>
        <c:scatterStyle val="lineMarker"/>
        <c:varyColors val="0"/>
        <c:ser>
          <c:idx val="1"/>
          <c:order val="0"/>
          <c:tx>
            <c:strRef>
              <c:f>Wind!$E$14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xVal>
            <c:numRef>
              <c:f>Wind!$E$15:$E$17</c:f>
              <c:numCache>
                <c:formatCode>0.00</c:formatCode>
                <c:ptCount val="3"/>
                <c:pt idx="0">
                  <c:v>1440.0</c:v>
                </c:pt>
                <c:pt idx="1">
                  <c:v>1310.0</c:v>
                </c:pt>
                <c:pt idx="2">
                  <c:v>1190.0</c:v>
                </c:pt>
              </c:numCache>
            </c:numRef>
          </c:xVal>
          <c:yVal>
            <c:numRef>
              <c:f>Wind!$E$104:$E$106</c:f>
              <c:numCache>
                <c:formatCode>0.00</c:formatCode>
                <c:ptCount val="3"/>
                <c:pt idx="0">
                  <c:v>0.333333333333333</c:v>
                </c:pt>
                <c:pt idx="1">
                  <c:v>0.333333333333333</c:v>
                </c:pt>
                <c:pt idx="2">
                  <c:v>0.333333333333333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Wind!$F$14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xVal>
            <c:numRef>
              <c:f>Wind!$F$15:$F$20</c:f>
              <c:numCache>
                <c:formatCode>0.00</c:formatCode>
                <c:ptCount val="6"/>
                <c:pt idx="0">
                  <c:v>1650.0</c:v>
                </c:pt>
                <c:pt idx="1">
                  <c:v>1500.0</c:v>
                </c:pt>
                <c:pt idx="2">
                  <c:v>1360.0</c:v>
                </c:pt>
                <c:pt idx="3">
                  <c:v>1360.0</c:v>
                </c:pt>
                <c:pt idx="4">
                  <c:v>1230.0</c:v>
                </c:pt>
                <c:pt idx="5">
                  <c:v>1120.0</c:v>
                </c:pt>
              </c:numCache>
            </c:numRef>
          </c:xVal>
          <c:yVal>
            <c:numRef>
              <c:f>Wind!$F$104:$F$109</c:f>
              <c:numCache>
                <c:formatCode>0.00</c:formatCode>
                <c:ptCount val="6"/>
                <c:pt idx="0">
                  <c:v>0.111111111111111</c:v>
                </c:pt>
                <c:pt idx="1">
                  <c:v>0.222222222222222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0.222222222222222</c:v>
                </c:pt>
                <c:pt idx="5">
                  <c:v>0.111111111111111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Wind!$G$14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Wind!$G$15:$G$24</c:f>
              <c:numCache>
                <c:formatCode>0.00</c:formatCode>
                <c:ptCount val="10"/>
                <c:pt idx="0">
                  <c:v>1890.0</c:v>
                </c:pt>
                <c:pt idx="1">
                  <c:v>1710.0</c:v>
                </c:pt>
                <c:pt idx="2">
                  <c:v>1550.0</c:v>
                </c:pt>
                <c:pt idx="3">
                  <c:v>1550.0</c:v>
                </c:pt>
                <c:pt idx="4">
                  <c:v>1410.0</c:v>
                </c:pt>
                <c:pt idx="5">
                  <c:v>1280.0</c:v>
                </c:pt>
                <c:pt idx="6">
                  <c:v>1410.0</c:v>
                </c:pt>
                <c:pt idx="7">
                  <c:v>1280.0</c:v>
                </c:pt>
                <c:pt idx="8">
                  <c:v>1160.0</c:v>
                </c:pt>
                <c:pt idx="9">
                  <c:v>1050.0</c:v>
                </c:pt>
              </c:numCache>
            </c:numRef>
          </c:xVal>
          <c:yVal>
            <c:numRef>
              <c:f>Wind!$G$104:$G$113</c:f>
              <c:numCache>
                <c:formatCode>0.00</c:formatCode>
                <c:ptCount val="10"/>
                <c:pt idx="0">
                  <c:v>0.0370370370370371</c:v>
                </c:pt>
                <c:pt idx="1">
                  <c:v>0.111111111111111</c:v>
                </c:pt>
                <c:pt idx="2">
                  <c:v>0.222222222222222</c:v>
                </c:pt>
                <c:pt idx="3">
                  <c:v>0.222222222222222</c:v>
                </c:pt>
                <c:pt idx="4">
                  <c:v>0.259259259259259</c:v>
                </c:pt>
                <c:pt idx="5">
                  <c:v>0.222222222222222</c:v>
                </c:pt>
                <c:pt idx="6">
                  <c:v>0.259259259259259</c:v>
                </c:pt>
                <c:pt idx="7">
                  <c:v>0.222222222222222</c:v>
                </c:pt>
                <c:pt idx="8">
                  <c:v>0.111111111111111</c:v>
                </c:pt>
                <c:pt idx="9">
                  <c:v>0.037037037037037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03896"/>
        <c:axId val="535210136"/>
      </c:scatterChart>
      <c:valAx>
        <c:axId val="53520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210136"/>
        <c:crosses val="autoZero"/>
        <c:crossBetween val="midCat"/>
      </c:valAx>
      <c:valAx>
        <c:axId val="53521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8838582677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203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Probability Function</a:t>
            </a:r>
          </a:p>
        </c:rich>
      </c:tx>
      <c:layout>
        <c:manualLayout>
          <c:xMode val="edge"/>
          <c:yMode val="edge"/>
          <c:x val="0.31390142337977"/>
          <c:y val="0.03333345209676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83116129196"/>
          <c:y val="0.18333393012347"/>
          <c:w val="0.661435683768228"/>
          <c:h val="0.616668674051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Wind!$G$14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Wind!$G$15:$G$24</c:f>
              <c:numCache>
                <c:formatCode>0.00</c:formatCode>
                <c:ptCount val="10"/>
                <c:pt idx="0">
                  <c:v>1890.0</c:v>
                </c:pt>
                <c:pt idx="1">
                  <c:v>1710.0</c:v>
                </c:pt>
                <c:pt idx="2">
                  <c:v>1550.0</c:v>
                </c:pt>
                <c:pt idx="3">
                  <c:v>1550.0</c:v>
                </c:pt>
                <c:pt idx="4">
                  <c:v>1410.0</c:v>
                </c:pt>
                <c:pt idx="5">
                  <c:v>1280.0</c:v>
                </c:pt>
                <c:pt idx="6">
                  <c:v>1410.0</c:v>
                </c:pt>
                <c:pt idx="7">
                  <c:v>1280.0</c:v>
                </c:pt>
                <c:pt idx="8">
                  <c:v>1160.0</c:v>
                </c:pt>
                <c:pt idx="9">
                  <c:v>1050.0</c:v>
                </c:pt>
              </c:numCache>
            </c:numRef>
          </c:xVal>
          <c:yVal>
            <c:numRef>
              <c:f>Wind!$G$70:$G$79</c:f>
              <c:numCache>
                <c:formatCode>0.00</c:formatCode>
                <c:ptCount val="10"/>
                <c:pt idx="0">
                  <c:v>1.0</c:v>
                </c:pt>
                <c:pt idx="1">
                  <c:v>0.962962962962963</c:v>
                </c:pt>
                <c:pt idx="2">
                  <c:v>0.851851851851852</c:v>
                </c:pt>
                <c:pt idx="3">
                  <c:v>0.851851851851852</c:v>
                </c:pt>
                <c:pt idx="4">
                  <c:v>0.62962962962963</c:v>
                </c:pt>
                <c:pt idx="5">
                  <c:v>0.37037037037037</c:v>
                </c:pt>
                <c:pt idx="6">
                  <c:v>0.62962962962963</c:v>
                </c:pt>
                <c:pt idx="7">
                  <c:v>0.37037037037037</c:v>
                </c:pt>
                <c:pt idx="8">
                  <c:v>0.148148148148148</c:v>
                </c:pt>
                <c:pt idx="9">
                  <c:v>0.037037037037037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Wind!$E$14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xVal>
            <c:numRef>
              <c:f>Wind!$E$15:$E$17</c:f>
              <c:numCache>
                <c:formatCode>0.00</c:formatCode>
                <c:ptCount val="3"/>
                <c:pt idx="0">
                  <c:v>1440.0</c:v>
                </c:pt>
                <c:pt idx="1">
                  <c:v>1310.0</c:v>
                </c:pt>
                <c:pt idx="2">
                  <c:v>1190.0</c:v>
                </c:pt>
              </c:numCache>
            </c:numRef>
          </c:xVal>
          <c:yVal>
            <c:numRef>
              <c:f>Wind!$E$70:$E$72</c:f>
              <c:numCache>
                <c:formatCode>0.00</c:formatCode>
                <c:ptCount val="3"/>
                <c:pt idx="0">
                  <c:v>1.0</c:v>
                </c:pt>
                <c:pt idx="1">
                  <c:v>0.666666666666667</c:v>
                </c:pt>
                <c:pt idx="2">
                  <c:v>0.333333333333333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Wind!$F$14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xVal>
            <c:numRef>
              <c:f>Wind!$F$15:$F$20</c:f>
              <c:numCache>
                <c:formatCode>0.00</c:formatCode>
                <c:ptCount val="6"/>
                <c:pt idx="0">
                  <c:v>1650.0</c:v>
                </c:pt>
                <c:pt idx="1">
                  <c:v>1500.0</c:v>
                </c:pt>
                <c:pt idx="2">
                  <c:v>1360.0</c:v>
                </c:pt>
                <c:pt idx="3">
                  <c:v>1360.0</c:v>
                </c:pt>
                <c:pt idx="4">
                  <c:v>1230.0</c:v>
                </c:pt>
                <c:pt idx="5">
                  <c:v>1120.0</c:v>
                </c:pt>
              </c:numCache>
            </c:numRef>
          </c:xVal>
          <c:yVal>
            <c:numRef>
              <c:f>Wind!$F$70:$F$75</c:f>
              <c:numCache>
                <c:formatCode>0.00</c:formatCode>
                <c:ptCount val="6"/>
                <c:pt idx="0">
                  <c:v>1.0</c:v>
                </c:pt>
                <c:pt idx="1">
                  <c:v>0.888888888888889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0.333333333333333</c:v>
                </c:pt>
                <c:pt idx="5">
                  <c:v>0.111111111111111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4408"/>
        <c:axId val="535260696"/>
      </c:scatterChart>
      <c:valAx>
        <c:axId val="53525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260696"/>
        <c:crosses val="autoZero"/>
        <c:crossBetween val="midCat"/>
      </c:valAx>
      <c:valAx>
        <c:axId val="53526069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991116495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2544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Probability Mass Function</a:t>
            </a:r>
          </a:p>
        </c:rich>
      </c:tx>
      <c:layout>
        <c:manualLayout>
          <c:xMode val="edge"/>
          <c:yMode val="edge"/>
          <c:x val="0.19202657480315"/>
          <c:y val="0.03333345209676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83169291339"/>
          <c:y val="0.18333393012347"/>
          <c:w val="0.608310777559055"/>
          <c:h val="0.616668674051673"/>
        </c:manualLayout>
      </c:layout>
      <c:scatterChart>
        <c:scatterStyle val="lineMarker"/>
        <c:varyColors val="0"/>
        <c:ser>
          <c:idx val="3"/>
          <c:order val="0"/>
          <c:tx>
            <c:strRef>
              <c:f>'NG Price'!$D$14</c:f>
              <c:strCache>
                <c:ptCount val="1"/>
                <c:pt idx="0">
                  <c:v>2010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minus"/>
            <c:errValType val="fixedVal"/>
            <c:noEndCap val="1"/>
            <c:val val="1.0"/>
          </c:errBars>
          <c:xVal>
            <c:numRef>
              <c:f>'NG Price'!$D$16</c:f>
              <c:numCache>
                <c:formatCode>0.00</c:formatCode>
                <c:ptCount val="1"/>
                <c:pt idx="0">
                  <c:v>5.9</c:v>
                </c:pt>
              </c:numCache>
            </c:numRef>
          </c:xVal>
          <c:yVal>
            <c:numRef>
              <c:f>'NG Price'!$D$106</c:f>
              <c:numCache>
                <c:formatCode>0.00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 Price'!$E$14</c:f>
              <c:strCache>
                <c:ptCount val="1"/>
                <c:pt idx="0">
                  <c:v>2020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'NG Price'!$E$16:$E$18</c:f>
              <c:numCache>
                <c:formatCode>0.00</c:formatCode>
                <c:ptCount val="3"/>
                <c:pt idx="0">
                  <c:v>7.4</c:v>
                </c:pt>
                <c:pt idx="1">
                  <c:v>5.9</c:v>
                </c:pt>
                <c:pt idx="2">
                  <c:v>4.8</c:v>
                </c:pt>
              </c:numCache>
            </c:numRef>
          </c:xVal>
          <c:yVal>
            <c:numRef>
              <c:f>'NG Price'!$E$106:$E$108</c:f>
              <c:numCache>
                <c:formatCode>0.00</c:formatCode>
                <c:ptCount val="3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 Price'!$F$14</c:f>
              <c:strCache>
                <c:ptCount val="1"/>
                <c:pt idx="0">
                  <c:v>2030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'NG Price'!$F$16:$F$21</c:f>
              <c:numCache>
                <c:formatCode>0.00</c:formatCode>
                <c:ptCount val="6"/>
                <c:pt idx="0">
                  <c:v>9.3</c:v>
                </c:pt>
                <c:pt idx="1">
                  <c:v>7.4</c:v>
                </c:pt>
                <c:pt idx="2">
                  <c:v>5.9</c:v>
                </c:pt>
                <c:pt idx="3">
                  <c:v>5.9</c:v>
                </c:pt>
                <c:pt idx="4">
                  <c:v>4.8</c:v>
                </c:pt>
                <c:pt idx="5">
                  <c:v>3.8</c:v>
                </c:pt>
              </c:numCache>
            </c:numRef>
          </c:xVal>
          <c:yVal>
            <c:numRef>
              <c:f>'NG Price'!$F$106:$F$111</c:f>
              <c:numCache>
                <c:formatCode>0.00</c:formatCode>
                <c:ptCount val="6"/>
                <c:pt idx="0">
                  <c:v>0.16</c:v>
                </c:pt>
                <c:pt idx="1">
                  <c:v>0.24</c:v>
                </c:pt>
                <c:pt idx="2">
                  <c:v>0.33</c:v>
                </c:pt>
                <c:pt idx="3">
                  <c:v>0.33</c:v>
                </c:pt>
                <c:pt idx="4">
                  <c:v>0.18</c:v>
                </c:pt>
                <c:pt idx="5">
                  <c:v>0.09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'NG Price'!$G$14</c:f>
              <c:strCache>
                <c:ptCount val="1"/>
                <c:pt idx="0">
                  <c:v>2040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'NG Price'!$G$16:$G$25</c:f>
              <c:numCache>
                <c:formatCode>0.00</c:formatCode>
                <c:ptCount val="10"/>
                <c:pt idx="0">
                  <c:v>11.6</c:v>
                </c:pt>
                <c:pt idx="1">
                  <c:v>9.3</c:v>
                </c:pt>
                <c:pt idx="2">
                  <c:v>7.4</c:v>
                </c:pt>
                <c:pt idx="3">
                  <c:v>7.4</c:v>
                </c:pt>
                <c:pt idx="4">
                  <c:v>5.9</c:v>
                </c:pt>
                <c:pt idx="5">
                  <c:v>4.8</c:v>
                </c:pt>
                <c:pt idx="6">
                  <c:v>5.9</c:v>
                </c:pt>
                <c:pt idx="7">
                  <c:v>4.8</c:v>
                </c:pt>
                <c:pt idx="8">
                  <c:v>3.8</c:v>
                </c:pt>
                <c:pt idx="9">
                  <c:v>3.0</c:v>
                </c:pt>
              </c:numCache>
            </c:numRef>
          </c:xVal>
          <c:yVal>
            <c:numRef>
              <c:f>'NG Price'!$G$106:$G$115</c:f>
              <c:numCache>
                <c:formatCode>0.00</c:formatCode>
                <c:ptCount val="10"/>
                <c:pt idx="0">
                  <c:v>0.064</c:v>
                </c:pt>
                <c:pt idx="1">
                  <c:v>0.144</c:v>
                </c:pt>
                <c:pt idx="2">
                  <c:v>0.252</c:v>
                </c:pt>
                <c:pt idx="3">
                  <c:v>0.252</c:v>
                </c:pt>
                <c:pt idx="4">
                  <c:v>0.243</c:v>
                </c:pt>
                <c:pt idx="5">
                  <c:v>0.189</c:v>
                </c:pt>
                <c:pt idx="6">
                  <c:v>0.243</c:v>
                </c:pt>
                <c:pt idx="7">
                  <c:v>0.189</c:v>
                </c:pt>
                <c:pt idx="8">
                  <c:v>0.081</c:v>
                </c:pt>
                <c:pt idx="9">
                  <c:v>0.027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 Price'!$H$14</c:f>
              <c:strCache>
                <c:ptCount val="1"/>
                <c:pt idx="0">
                  <c:v>2050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'NG Price'!$H$16:$H$30</c:f>
              <c:numCache>
                <c:formatCode>0.00</c:formatCode>
                <c:ptCount val="15"/>
                <c:pt idx="0">
                  <c:v>14.5</c:v>
                </c:pt>
                <c:pt idx="1">
                  <c:v>11.6</c:v>
                </c:pt>
                <c:pt idx="2">
                  <c:v>9.3</c:v>
                </c:pt>
                <c:pt idx="3">
                  <c:v>9.3</c:v>
                </c:pt>
                <c:pt idx="4">
                  <c:v>7.4</c:v>
                </c:pt>
                <c:pt idx="5">
                  <c:v>5.9</c:v>
                </c:pt>
                <c:pt idx="6">
                  <c:v>7.4</c:v>
                </c:pt>
                <c:pt idx="7">
                  <c:v>5.9</c:v>
                </c:pt>
                <c:pt idx="8">
                  <c:v>4.8</c:v>
                </c:pt>
                <c:pt idx="9">
                  <c:v>3.8</c:v>
                </c:pt>
                <c:pt idx="10">
                  <c:v>5.9</c:v>
                </c:pt>
                <c:pt idx="11">
                  <c:v>4.8</c:v>
                </c:pt>
                <c:pt idx="12">
                  <c:v>3.8</c:v>
                </c:pt>
                <c:pt idx="13">
                  <c:v>3.0</c:v>
                </c:pt>
                <c:pt idx="14">
                  <c:v>2.4</c:v>
                </c:pt>
              </c:numCache>
            </c:numRef>
          </c:xVal>
          <c:yVal>
            <c:numRef>
              <c:f>'NG Price'!$H$106:$H$120</c:f>
              <c:numCache>
                <c:formatCode>0.00</c:formatCode>
                <c:ptCount val="15"/>
                <c:pt idx="0">
                  <c:v>0.0256000000000001</c:v>
                </c:pt>
                <c:pt idx="1">
                  <c:v>0.0768</c:v>
                </c:pt>
                <c:pt idx="2">
                  <c:v>0.1632</c:v>
                </c:pt>
                <c:pt idx="3">
                  <c:v>0.1632</c:v>
                </c:pt>
                <c:pt idx="4">
                  <c:v>0.216</c:v>
                </c:pt>
                <c:pt idx="5">
                  <c:v>0.2241</c:v>
                </c:pt>
                <c:pt idx="6">
                  <c:v>0.216</c:v>
                </c:pt>
                <c:pt idx="7">
                  <c:v>0.2241</c:v>
                </c:pt>
                <c:pt idx="8">
                  <c:v>0.162</c:v>
                </c:pt>
                <c:pt idx="9">
                  <c:v>0.0918</c:v>
                </c:pt>
                <c:pt idx="10">
                  <c:v>0.2241</c:v>
                </c:pt>
                <c:pt idx="11">
                  <c:v>0.162</c:v>
                </c:pt>
                <c:pt idx="12">
                  <c:v>0.0918</c:v>
                </c:pt>
                <c:pt idx="13">
                  <c:v>0.0324</c:v>
                </c:pt>
                <c:pt idx="14">
                  <c:v>0.0081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70728"/>
        <c:axId val="579659752"/>
      </c:scatterChart>
      <c:valAx>
        <c:axId val="56627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79659752"/>
        <c:crosses val="autoZero"/>
        <c:crossBetween val="midCat"/>
      </c:valAx>
      <c:valAx>
        <c:axId val="579659752"/>
        <c:scaling>
          <c:orientation val="minMax"/>
          <c:max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8838582677"/>
              <c:y val="0.38333452096768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6627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 Probability Function</a:t>
            </a:r>
          </a:p>
        </c:rich>
      </c:tx>
      <c:layout>
        <c:manualLayout>
          <c:xMode val="edge"/>
          <c:yMode val="edge"/>
          <c:x val="0.148453210175651"/>
          <c:y val="0.03333345209676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03745204926"/>
          <c:y val="0.18333393012347"/>
          <c:w val="0.600538310115082"/>
          <c:h val="0.616668674051673"/>
        </c:manualLayout>
      </c:layout>
      <c:scatterChart>
        <c:scatterStyle val="lineMarker"/>
        <c:varyColors val="0"/>
        <c:ser>
          <c:idx val="5"/>
          <c:order val="0"/>
          <c:tx>
            <c:strRef>
              <c:f>'NG Price'!$D$14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minus"/>
            <c:errValType val="fixedVal"/>
            <c:noEndCap val="1"/>
            <c:val val="1.0"/>
          </c:errBars>
          <c:xVal>
            <c:numRef>
              <c:f>'NG Price'!$D$16</c:f>
              <c:numCache>
                <c:formatCode>0.00</c:formatCode>
                <c:ptCount val="1"/>
                <c:pt idx="0">
                  <c:v>5.9</c:v>
                </c:pt>
              </c:numCache>
            </c:numRef>
          </c:xVal>
          <c:yVal>
            <c:numRef>
              <c:f>'NG Price'!$D$72</c:f>
              <c:numCache>
                <c:formatCode>0.00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'NG Price'!$E$14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'NG Price'!$E$16:$E$18</c:f>
              <c:numCache>
                <c:formatCode>0.00</c:formatCode>
                <c:ptCount val="3"/>
                <c:pt idx="0">
                  <c:v>7.4</c:v>
                </c:pt>
                <c:pt idx="1">
                  <c:v>5.9</c:v>
                </c:pt>
                <c:pt idx="2">
                  <c:v>4.8</c:v>
                </c:pt>
              </c:numCache>
            </c:numRef>
          </c:xVal>
          <c:yVal>
            <c:numRef>
              <c:f>'NG Price'!$E$72:$E$74</c:f>
              <c:numCache>
                <c:formatCode>0.00</c:formatCode>
                <c:ptCount val="3"/>
                <c:pt idx="0">
                  <c:v>1.0</c:v>
                </c:pt>
                <c:pt idx="1">
                  <c:v>0.6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 Price'!$F$14</c:f>
              <c:strCache>
                <c:ptCount val="1"/>
                <c:pt idx="0">
                  <c:v>2030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'NG Price'!$F$16:$F$21</c:f>
              <c:numCache>
                <c:formatCode>0.00</c:formatCode>
                <c:ptCount val="6"/>
                <c:pt idx="0">
                  <c:v>9.3</c:v>
                </c:pt>
                <c:pt idx="1">
                  <c:v>7.4</c:v>
                </c:pt>
                <c:pt idx="2">
                  <c:v>5.9</c:v>
                </c:pt>
                <c:pt idx="3">
                  <c:v>5.9</c:v>
                </c:pt>
                <c:pt idx="4">
                  <c:v>4.8</c:v>
                </c:pt>
                <c:pt idx="5">
                  <c:v>3.8</c:v>
                </c:pt>
              </c:numCache>
            </c:numRef>
          </c:xVal>
          <c:yVal>
            <c:numRef>
              <c:f>'NG Price'!$F$72:$F$77</c:f>
              <c:numCache>
                <c:formatCode>0.00</c:formatCode>
                <c:ptCount val="6"/>
                <c:pt idx="0">
                  <c:v>1.0</c:v>
                </c:pt>
                <c:pt idx="1">
                  <c:v>0.84</c:v>
                </c:pt>
                <c:pt idx="2">
                  <c:v>0.6</c:v>
                </c:pt>
                <c:pt idx="3">
                  <c:v>0.6</c:v>
                </c:pt>
                <c:pt idx="4">
                  <c:v>0.27</c:v>
                </c:pt>
                <c:pt idx="5">
                  <c:v>0.09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 Price'!$G$14</c:f>
              <c:strCache>
                <c:ptCount val="1"/>
                <c:pt idx="0">
                  <c:v>2040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'NG Price'!$G$16:$G$25</c:f>
              <c:numCache>
                <c:formatCode>0.00</c:formatCode>
                <c:ptCount val="10"/>
                <c:pt idx="0">
                  <c:v>11.6</c:v>
                </c:pt>
                <c:pt idx="1">
                  <c:v>9.3</c:v>
                </c:pt>
                <c:pt idx="2">
                  <c:v>7.4</c:v>
                </c:pt>
                <c:pt idx="3">
                  <c:v>7.4</c:v>
                </c:pt>
                <c:pt idx="4">
                  <c:v>5.9</c:v>
                </c:pt>
                <c:pt idx="5">
                  <c:v>4.8</c:v>
                </c:pt>
                <c:pt idx="6">
                  <c:v>5.9</c:v>
                </c:pt>
                <c:pt idx="7">
                  <c:v>4.8</c:v>
                </c:pt>
                <c:pt idx="8">
                  <c:v>3.8</c:v>
                </c:pt>
                <c:pt idx="9">
                  <c:v>3.0</c:v>
                </c:pt>
              </c:numCache>
            </c:numRef>
          </c:xVal>
          <c:yVal>
            <c:numRef>
              <c:f>'NG Price'!$G$72:$G$81</c:f>
              <c:numCache>
                <c:formatCode>0.00</c:formatCode>
                <c:ptCount val="10"/>
                <c:pt idx="0">
                  <c:v>1.0</c:v>
                </c:pt>
                <c:pt idx="1">
                  <c:v>0.936</c:v>
                </c:pt>
                <c:pt idx="2">
                  <c:v>0.792</c:v>
                </c:pt>
                <c:pt idx="3">
                  <c:v>0.792</c:v>
                </c:pt>
                <c:pt idx="4">
                  <c:v>0.54</c:v>
                </c:pt>
                <c:pt idx="5">
                  <c:v>0.297</c:v>
                </c:pt>
                <c:pt idx="6">
                  <c:v>0.54</c:v>
                </c:pt>
                <c:pt idx="7">
                  <c:v>0.297</c:v>
                </c:pt>
                <c:pt idx="8">
                  <c:v>0.108</c:v>
                </c:pt>
                <c:pt idx="9">
                  <c:v>0.027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'NG Price'!$H$14</c:f>
              <c:strCache>
                <c:ptCount val="1"/>
                <c:pt idx="0">
                  <c:v>2050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'NG Price'!$H$16:$H$30</c:f>
              <c:numCache>
                <c:formatCode>0.00</c:formatCode>
                <c:ptCount val="15"/>
                <c:pt idx="0">
                  <c:v>14.5</c:v>
                </c:pt>
                <c:pt idx="1">
                  <c:v>11.6</c:v>
                </c:pt>
                <c:pt idx="2">
                  <c:v>9.3</c:v>
                </c:pt>
                <c:pt idx="3">
                  <c:v>9.3</c:v>
                </c:pt>
                <c:pt idx="4">
                  <c:v>7.4</c:v>
                </c:pt>
                <c:pt idx="5">
                  <c:v>5.9</c:v>
                </c:pt>
                <c:pt idx="6">
                  <c:v>7.4</c:v>
                </c:pt>
                <c:pt idx="7">
                  <c:v>5.9</c:v>
                </c:pt>
                <c:pt idx="8">
                  <c:v>4.8</c:v>
                </c:pt>
                <c:pt idx="9">
                  <c:v>3.8</c:v>
                </c:pt>
                <c:pt idx="10">
                  <c:v>5.9</c:v>
                </c:pt>
                <c:pt idx="11">
                  <c:v>4.8</c:v>
                </c:pt>
                <c:pt idx="12">
                  <c:v>3.8</c:v>
                </c:pt>
                <c:pt idx="13">
                  <c:v>3.0</c:v>
                </c:pt>
                <c:pt idx="14">
                  <c:v>2.4</c:v>
                </c:pt>
              </c:numCache>
            </c:numRef>
          </c:xVal>
          <c:yVal>
            <c:numRef>
              <c:f>'NG Price'!$H$72:$H$86</c:f>
              <c:numCache>
                <c:formatCode>0.00</c:formatCode>
                <c:ptCount val="15"/>
                <c:pt idx="0">
                  <c:v>1.0</c:v>
                </c:pt>
                <c:pt idx="1">
                  <c:v>0.9744</c:v>
                </c:pt>
                <c:pt idx="2">
                  <c:v>0.8976</c:v>
                </c:pt>
                <c:pt idx="3">
                  <c:v>0.8976</c:v>
                </c:pt>
                <c:pt idx="4">
                  <c:v>0.7344</c:v>
                </c:pt>
                <c:pt idx="5">
                  <c:v>0.5184</c:v>
                </c:pt>
                <c:pt idx="6">
                  <c:v>0.7344</c:v>
                </c:pt>
                <c:pt idx="7">
                  <c:v>0.5184</c:v>
                </c:pt>
                <c:pt idx="8">
                  <c:v>0.2943</c:v>
                </c:pt>
                <c:pt idx="9">
                  <c:v>0.1323</c:v>
                </c:pt>
                <c:pt idx="10">
                  <c:v>0.5184</c:v>
                </c:pt>
                <c:pt idx="11">
                  <c:v>0.2943</c:v>
                </c:pt>
                <c:pt idx="12">
                  <c:v>0.1323</c:v>
                </c:pt>
                <c:pt idx="13">
                  <c:v>0.0405</c:v>
                </c:pt>
                <c:pt idx="14">
                  <c:v>0.0081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47320"/>
        <c:axId val="819783800"/>
      </c:scatterChart>
      <c:valAx>
        <c:axId val="8196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783800"/>
        <c:crosses val="autoZero"/>
        <c:crossBetween val="midCat"/>
      </c:valAx>
      <c:valAx>
        <c:axId val="819783800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991116495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647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Mass Function</a:t>
            </a:r>
          </a:p>
        </c:rich>
      </c:tx>
      <c:layout>
        <c:manualLayout>
          <c:xMode val="edge"/>
          <c:yMode val="edge"/>
          <c:x val="0.313901568141546"/>
          <c:y val="0.03333333333333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583116129196"/>
          <c:y val="0.18333393012347"/>
          <c:w val="0.661435683768228"/>
          <c:h val="0.616668674051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'Binomial Latice template'!$E$10</c:f>
              <c:strCache>
                <c:ptCount val="1"/>
                <c:pt idx="0">
                  <c:v>t = 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'Binomial Latice template'!$E$11:$E$14</c:f>
              <c:numCache>
                <c:formatCode>0.00</c:formatCode>
                <c:ptCount val="4"/>
                <c:pt idx="0">
                  <c:v>2000.0</c:v>
                </c:pt>
                <c:pt idx="1">
                  <c:v>1587.4010519682</c:v>
                </c:pt>
                <c:pt idx="2">
                  <c:v>1259.921049894873</c:v>
                </c:pt>
                <c:pt idx="3">
                  <c:v>1000.0</c:v>
                </c:pt>
              </c:numCache>
            </c:numRef>
          </c:xVal>
          <c:yVal>
            <c:numRef>
              <c:f>'Binomial Latice template'!$E$24:$E$27</c:f>
              <c:numCache>
                <c:formatCode>0.000</c:formatCode>
                <c:ptCount val="4"/>
                <c:pt idx="0">
                  <c:v>0.125</c:v>
                </c:pt>
                <c:pt idx="1">
                  <c:v>0.375</c:v>
                </c:pt>
                <c:pt idx="2">
                  <c:v>0.375</c:v>
                </c:pt>
                <c:pt idx="3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'Binomial Latice template'!$H$10</c:f>
              <c:strCache>
                <c:ptCount val="1"/>
                <c:pt idx="0">
                  <c:v>t =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xVal>
            <c:numRef>
              <c:f>'Binomial Latice template'!$H$11:$H$17</c:f>
              <c:numCache>
                <c:formatCode>0.00</c:formatCode>
                <c:ptCount val="7"/>
                <c:pt idx="0">
                  <c:v>2000.0</c:v>
                </c:pt>
                <c:pt idx="1">
                  <c:v>1587.4010519682</c:v>
                </c:pt>
                <c:pt idx="2">
                  <c:v>1259.921049894873</c:v>
                </c:pt>
                <c:pt idx="3">
                  <c:v>1000.0</c:v>
                </c:pt>
                <c:pt idx="4">
                  <c:v>793.7005259841001</c:v>
                </c:pt>
                <c:pt idx="5">
                  <c:v>629.9605249474369</c:v>
                </c:pt>
                <c:pt idx="6">
                  <c:v>500.0000000000002</c:v>
                </c:pt>
              </c:numCache>
            </c:numRef>
          </c:xVal>
          <c:yVal>
            <c:numRef>
              <c:f>'Binomial Latice template'!$H$24:$H$30</c:f>
              <c:numCache>
                <c:formatCode>0.000</c:formatCode>
                <c:ptCount val="7"/>
                <c:pt idx="0">
                  <c:v>0.015625</c:v>
                </c:pt>
                <c:pt idx="1">
                  <c:v>0.09375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0.09375</c:v>
                </c:pt>
                <c:pt idx="6">
                  <c:v>0.015625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88296"/>
        <c:axId val="550525880"/>
      </c:scatterChart>
      <c:valAx>
        <c:axId val="53578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734655"/>
              <c:y val="0.8900029396325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525880"/>
        <c:crosses val="autoZero"/>
        <c:crossBetween val="midCat"/>
      </c:valAx>
      <c:valAx>
        <c:axId val="55052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9808678737"/>
              <c:y val="0.38333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88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Probability Mass Function</a:t>
            </a:r>
          </a:p>
        </c:rich>
      </c:tx>
      <c:layout>
        <c:manualLayout>
          <c:xMode val="edge"/>
          <c:yMode val="edge"/>
          <c:x val="0.19202657480315"/>
          <c:y val="0.033333452096768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83169291339"/>
          <c:y val="0.18333393012347"/>
          <c:w val="0.608310777559055"/>
          <c:h val="0.616668674051673"/>
        </c:manualLayout>
      </c:layout>
      <c:scatterChart>
        <c:scatterStyle val="lineMarker"/>
        <c:varyColors val="0"/>
        <c:ser>
          <c:idx val="3"/>
          <c:order val="0"/>
          <c:tx>
            <c:strRef>
              <c:f>'Trinomial Latice template'!$D$14</c:f>
              <c:strCache>
                <c:ptCount val="1"/>
                <c:pt idx="0">
                  <c:v>time0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minus"/>
            <c:errValType val="fixedVal"/>
            <c:noEndCap val="1"/>
            <c:val val="1.0"/>
          </c:errBars>
          <c:xVal>
            <c:numRef>
              <c:f>'Trinomial Latice template'!$D$16</c:f>
              <c:numCache>
                <c:formatCode>0.00</c:formatCode>
                <c:ptCount val="1"/>
                <c:pt idx="0">
                  <c:v>1050.0</c:v>
                </c:pt>
              </c:numCache>
            </c:numRef>
          </c:xVal>
          <c:yVal>
            <c:numRef>
              <c:f>'Trinomial Latice template'!$D$106</c:f>
              <c:numCache>
                <c:formatCode>0.00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'Trinomial Latice template'!$E$14</c:f>
              <c:strCache>
                <c:ptCount val="1"/>
                <c:pt idx="0">
                  <c:v>time1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'Trinomial Latice template'!$E$16:$E$18</c:f>
              <c:numCache>
                <c:formatCode>0.00</c:formatCode>
                <c:ptCount val="3"/>
                <c:pt idx="0">
                  <c:v>1260.0</c:v>
                </c:pt>
                <c:pt idx="1">
                  <c:v>1050.0</c:v>
                </c:pt>
                <c:pt idx="2">
                  <c:v>880.0</c:v>
                </c:pt>
              </c:numCache>
            </c:numRef>
          </c:xVal>
          <c:yVal>
            <c:numRef>
              <c:f>'Trinomial Latice template'!$E$106:$E$108</c:f>
              <c:numCache>
                <c:formatCode>0.00</c:formatCode>
                <c:ptCount val="3"/>
                <c:pt idx="0">
                  <c:v>0.2</c:v>
                </c:pt>
                <c:pt idx="1">
                  <c:v>0.333333333333333</c:v>
                </c:pt>
                <c:pt idx="2">
                  <c:v>0.466666666666667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'Trinomial Latice template'!$F$14</c:f>
              <c:strCache>
                <c:ptCount val="1"/>
                <c:pt idx="0">
                  <c:v>time2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'Trinomial Latice template'!$F$16:$F$21</c:f>
              <c:numCache>
                <c:formatCode>0.00</c:formatCode>
                <c:ptCount val="6"/>
                <c:pt idx="0">
                  <c:v>1510.0</c:v>
                </c:pt>
                <c:pt idx="1">
                  <c:v>1260.0</c:v>
                </c:pt>
                <c:pt idx="2">
                  <c:v>1050.0</c:v>
                </c:pt>
                <c:pt idx="3">
                  <c:v>1050.0</c:v>
                </c:pt>
                <c:pt idx="4">
                  <c:v>880.0</c:v>
                </c:pt>
                <c:pt idx="5">
                  <c:v>730.0</c:v>
                </c:pt>
              </c:numCache>
            </c:numRef>
          </c:xVal>
          <c:yVal>
            <c:numRef>
              <c:f>'Trinomial Latice template'!$F$106:$F$111</c:f>
              <c:numCache>
                <c:formatCode>0.00</c:formatCode>
                <c:ptCount val="6"/>
                <c:pt idx="0">
                  <c:v>0.04</c:v>
                </c:pt>
                <c:pt idx="1">
                  <c:v>0.133333333333333</c:v>
                </c:pt>
                <c:pt idx="2">
                  <c:v>0.297777777777778</c:v>
                </c:pt>
                <c:pt idx="3">
                  <c:v>0.297777777777778</c:v>
                </c:pt>
                <c:pt idx="4">
                  <c:v>0.311111111111111</c:v>
                </c:pt>
                <c:pt idx="5">
                  <c:v>0.217777777777778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'Trinomial Latice template'!$G$14</c:f>
              <c:strCache>
                <c:ptCount val="1"/>
                <c:pt idx="0">
                  <c:v>time3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'Trinomial Latice template'!$G$16:$G$25</c:f>
              <c:numCache>
                <c:formatCode>0.00</c:formatCode>
                <c:ptCount val="10"/>
                <c:pt idx="0">
                  <c:v>1810.0</c:v>
                </c:pt>
                <c:pt idx="1">
                  <c:v>1510.0</c:v>
                </c:pt>
                <c:pt idx="2">
                  <c:v>1260.0</c:v>
                </c:pt>
                <c:pt idx="3">
                  <c:v>1260.0</c:v>
                </c:pt>
                <c:pt idx="4">
                  <c:v>1050.0</c:v>
                </c:pt>
                <c:pt idx="5">
                  <c:v>880.0</c:v>
                </c:pt>
                <c:pt idx="6">
                  <c:v>1050.0</c:v>
                </c:pt>
                <c:pt idx="7">
                  <c:v>880.0</c:v>
                </c:pt>
                <c:pt idx="8">
                  <c:v>730.0</c:v>
                </c:pt>
                <c:pt idx="9">
                  <c:v>610.0</c:v>
                </c:pt>
              </c:numCache>
            </c:numRef>
          </c:xVal>
          <c:yVal>
            <c:numRef>
              <c:f>'Trinomial Latice template'!$G$106:$G$115</c:f>
              <c:numCache>
                <c:formatCode>0.00</c:formatCode>
                <c:ptCount val="10"/>
                <c:pt idx="0">
                  <c:v>0.00800000000000012</c:v>
                </c:pt>
                <c:pt idx="1">
                  <c:v>0.04</c:v>
                </c:pt>
                <c:pt idx="2">
                  <c:v>0.122666666666667</c:v>
                </c:pt>
                <c:pt idx="3">
                  <c:v>0.122666666666667</c:v>
                </c:pt>
                <c:pt idx="4">
                  <c:v>0.223703703703704</c:v>
                </c:pt>
                <c:pt idx="5">
                  <c:v>0.286222222222222</c:v>
                </c:pt>
                <c:pt idx="6">
                  <c:v>0.223703703703704</c:v>
                </c:pt>
                <c:pt idx="7">
                  <c:v>0.286222222222222</c:v>
                </c:pt>
                <c:pt idx="8">
                  <c:v>0.217777777777778</c:v>
                </c:pt>
                <c:pt idx="9">
                  <c:v>0.10162962962963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'Trinomial Latice template'!$H$14</c:f>
              <c:strCache>
                <c:ptCount val="1"/>
                <c:pt idx="0">
                  <c:v>time4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'Trinomial Latice template'!$H$16:$H$30</c:f>
              <c:numCache>
                <c:formatCode>0.00</c:formatCode>
                <c:ptCount val="15"/>
                <c:pt idx="0">
                  <c:v>2180.0</c:v>
                </c:pt>
                <c:pt idx="1">
                  <c:v>1810.0</c:v>
                </c:pt>
                <c:pt idx="2">
                  <c:v>1510.0</c:v>
                </c:pt>
                <c:pt idx="3">
                  <c:v>1510.0</c:v>
                </c:pt>
                <c:pt idx="4">
                  <c:v>1260.0</c:v>
                </c:pt>
                <c:pt idx="5">
                  <c:v>1050.0</c:v>
                </c:pt>
                <c:pt idx="6">
                  <c:v>1260.0</c:v>
                </c:pt>
                <c:pt idx="7">
                  <c:v>1050.0</c:v>
                </c:pt>
                <c:pt idx="8">
                  <c:v>880.0</c:v>
                </c:pt>
                <c:pt idx="9">
                  <c:v>730.0</c:v>
                </c:pt>
                <c:pt idx="10">
                  <c:v>1050.0</c:v>
                </c:pt>
                <c:pt idx="11">
                  <c:v>880.0</c:v>
                </c:pt>
                <c:pt idx="12">
                  <c:v>730.0</c:v>
                </c:pt>
                <c:pt idx="13">
                  <c:v>610.0</c:v>
                </c:pt>
                <c:pt idx="14">
                  <c:v>510.0</c:v>
                </c:pt>
              </c:numCache>
            </c:numRef>
          </c:xVal>
          <c:yVal>
            <c:numRef>
              <c:f>'Trinomial Latice template'!$H$106:$H$120</c:f>
              <c:numCache>
                <c:formatCode>0.00</c:formatCode>
                <c:ptCount val="15"/>
                <c:pt idx="0">
                  <c:v>0.00160000000000005</c:v>
                </c:pt>
                <c:pt idx="1">
                  <c:v>0.0106666666666666</c:v>
                </c:pt>
                <c:pt idx="2">
                  <c:v>0.0416000000000001</c:v>
                </c:pt>
                <c:pt idx="3">
                  <c:v>0.0416000000000001</c:v>
                </c:pt>
                <c:pt idx="4">
                  <c:v>0.104296296296296</c:v>
                </c:pt>
                <c:pt idx="5">
                  <c:v>0.189056790123457</c:v>
                </c:pt>
                <c:pt idx="6">
                  <c:v>0.104296296296296</c:v>
                </c:pt>
                <c:pt idx="7">
                  <c:v>0.189056790123457</c:v>
                </c:pt>
                <c:pt idx="8">
                  <c:v>0.243358024691358</c:v>
                </c:pt>
                <c:pt idx="9">
                  <c:v>0.226488888888889</c:v>
                </c:pt>
                <c:pt idx="10">
                  <c:v>0.189056790123457</c:v>
                </c:pt>
                <c:pt idx="11">
                  <c:v>0.243358024691358</c:v>
                </c:pt>
                <c:pt idx="12">
                  <c:v>0.226488888888889</c:v>
                </c:pt>
                <c:pt idx="13">
                  <c:v>0.135506172839506</c:v>
                </c:pt>
                <c:pt idx="14">
                  <c:v>0.0474271604938271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49032"/>
        <c:axId val="673101416"/>
      </c:scatterChart>
      <c:valAx>
        <c:axId val="5493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73101416"/>
        <c:crosses val="autoZero"/>
        <c:crossBetween val="midCat"/>
      </c:valAx>
      <c:valAx>
        <c:axId val="673101416"/>
        <c:scaling>
          <c:orientation val="minMax"/>
          <c:max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8838582677"/>
              <c:y val="0.38333452096768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4934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 Probability Function</a:t>
            </a:r>
          </a:p>
        </c:rich>
      </c:tx>
      <c:layout>
        <c:manualLayout>
          <c:xMode val="edge"/>
          <c:yMode val="edge"/>
          <c:x val="0.148453210175651"/>
          <c:y val="0.033333452096768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403745204926"/>
          <c:y val="0.18333393012347"/>
          <c:w val="0.600538310115082"/>
          <c:h val="0.616668674051673"/>
        </c:manualLayout>
      </c:layout>
      <c:scatterChart>
        <c:scatterStyle val="lineMarker"/>
        <c:varyColors val="0"/>
        <c:ser>
          <c:idx val="5"/>
          <c:order val="0"/>
          <c:tx>
            <c:strRef>
              <c:f>'Trinomial Latice template'!$D$14</c:f>
              <c:strCache>
                <c:ptCount val="1"/>
                <c:pt idx="0">
                  <c:v>time0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minus"/>
            <c:errValType val="fixedVal"/>
            <c:noEndCap val="1"/>
            <c:val val="1.0"/>
          </c:errBars>
          <c:xVal>
            <c:numRef>
              <c:f>'Trinomial Latice template'!$D$16</c:f>
              <c:numCache>
                <c:formatCode>0.00</c:formatCode>
                <c:ptCount val="1"/>
                <c:pt idx="0">
                  <c:v>1050.0</c:v>
                </c:pt>
              </c:numCache>
            </c:numRef>
          </c:xVal>
          <c:yVal>
            <c:numRef>
              <c:f>'Trinomial Latice template'!$D$72</c:f>
              <c:numCache>
                <c:formatCode>0.00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'Trinomial Latice template'!$E$14</c:f>
              <c:strCache>
                <c:ptCount val="1"/>
                <c:pt idx="0">
                  <c:v>time1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'Trinomial Latice template'!$E$16:$E$18</c:f>
              <c:numCache>
                <c:formatCode>0.00</c:formatCode>
                <c:ptCount val="3"/>
                <c:pt idx="0">
                  <c:v>1260.0</c:v>
                </c:pt>
                <c:pt idx="1">
                  <c:v>1050.0</c:v>
                </c:pt>
                <c:pt idx="2">
                  <c:v>880.0</c:v>
                </c:pt>
              </c:numCache>
            </c:numRef>
          </c:xVal>
          <c:yVal>
            <c:numRef>
              <c:f>'Trinomial Latice template'!$E$72:$E$74</c:f>
              <c:numCache>
                <c:formatCode>0.00</c:formatCode>
                <c:ptCount val="3"/>
                <c:pt idx="0">
                  <c:v>1.0</c:v>
                </c:pt>
                <c:pt idx="1">
                  <c:v>0.8</c:v>
                </c:pt>
                <c:pt idx="2">
                  <c:v>0.466666666666667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'Trinomial Latice template'!$F$14</c:f>
              <c:strCache>
                <c:ptCount val="1"/>
                <c:pt idx="0">
                  <c:v>time2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'Trinomial Latice template'!$F$16:$F$21</c:f>
              <c:numCache>
                <c:formatCode>0.00</c:formatCode>
                <c:ptCount val="6"/>
                <c:pt idx="0">
                  <c:v>1510.0</c:v>
                </c:pt>
                <c:pt idx="1">
                  <c:v>1260.0</c:v>
                </c:pt>
                <c:pt idx="2">
                  <c:v>1050.0</c:v>
                </c:pt>
                <c:pt idx="3">
                  <c:v>1050.0</c:v>
                </c:pt>
                <c:pt idx="4">
                  <c:v>880.0</c:v>
                </c:pt>
                <c:pt idx="5">
                  <c:v>730.0</c:v>
                </c:pt>
              </c:numCache>
            </c:numRef>
          </c:xVal>
          <c:yVal>
            <c:numRef>
              <c:f>'Trinomial Latice template'!$F$72:$F$77</c:f>
              <c:numCache>
                <c:formatCode>0.00</c:formatCode>
                <c:ptCount val="6"/>
                <c:pt idx="0">
                  <c:v>1.0</c:v>
                </c:pt>
                <c:pt idx="1">
                  <c:v>0.96</c:v>
                </c:pt>
                <c:pt idx="2">
                  <c:v>0.826666666666667</c:v>
                </c:pt>
                <c:pt idx="3">
                  <c:v>0.826666666666667</c:v>
                </c:pt>
                <c:pt idx="4">
                  <c:v>0.528888888888889</c:v>
                </c:pt>
                <c:pt idx="5">
                  <c:v>0.217777777777778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'Trinomial Latice template'!$G$14</c:f>
              <c:strCache>
                <c:ptCount val="1"/>
                <c:pt idx="0">
                  <c:v>time3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'Trinomial Latice template'!$G$16:$G$25</c:f>
              <c:numCache>
                <c:formatCode>0.00</c:formatCode>
                <c:ptCount val="10"/>
                <c:pt idx="0">
                  <c:v>1810.0</c:v>
                </c:pt>
                <c:pt idx="1">
                  <c:v>1510.0</c:v>
                </c:pt>
                <c:pt idx="2">
                  <c:v>1260.0</c:v>
                </c:pt>
                <c:pt idx="3">
                  <c:v>1260.0</c:v>
                </c:pt>
                <c:pt idx="4">
                  <c:v>1050.0</c:v>
                </c:pt>
                <c:pt idx="5">
                  <c:v>880.0</c:v>
                </c:pt>
                <c:pt idx="6">
                  <c:v>1050.0</c:v>
                </c:pt>
                <c:pt idx="7">
                  <c:v>880.0</c:v>
                </c:pt>
                <c:pt idx="8">
                  <c:v>730.0</c:v>
                </c:pt>
                <c:pt idx="9">
                  <c:v>610.0</c:v>
                </c:pt>
              </c:numCache>
            </c:numRef>
          </c:xVal>
          <c:yVal>
            <c:numRef>
              <c:f>'Trinomial Latice template'!$G$72:$G$81</c:f>
              <c:numCache>
                <c:formatCode>0.00</c:formatCode>
                <c:ptCount val="10"/>
                <c:pt idx="0">
                  <c:v>1.0</c:v>
                </c:pt>
                <c:pt idx="1">
                  <c:v>0.992</c:v>
                </c:pt>
                <c:pt idx="2">
                  <c:v>0.952</c:v>
                </c:pt>
                <c:pt idx="3">
                  <c:v>0.952</c:v>
                </c:pt>
                <c:pt idx="4">
                  <c:v>0.829333333333333</c:v>
                </c:pt>
                <c:pt idx="5">
                  <c:v>0.60562962962963</c:v>
                </c:pt>
                <c:pt idx="6">
                  <c:v>0.829333333333333</c:v>
                </c:pt>
                <c:pt idx="7">
                  <c:v>0.60562962962963</c:v>
                </c:pt>
                <c:pt idx="8">
                  <c:v>0.319407407407407</c:v>
                </c:pt>
                <c:pt idx="9">
                  <c:v>0.10162962962963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'Trinomial Latice template'!$H$14</c:f>
              <c:strCache>
                <c:ptCount val="1"/>
                <c:pt idx="0">
                  <c:v>time4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'Trinomial Latice template'!$H$16:$H$30</c:f>
              <c:numCache>
                <c:formatCode>0.00</c:formatCode>
                <c:ptCount val="15"/>
                <c:pt idx="0">
                  <c:v>2180.0</c:v>
                </c:pt>
                <c:pt idx="1">
                  <c:v>1810.0</c:v>
                </c:pt>
                <c:pt idx="2">
                  <c:v>1510.0</c:v>
                </c:pt>
                <c:pt idx="3">
                  <c:v>1510.0</c:v>
                </c:pt>
                <c:pt idx="4">
                  <c:v>1260.0</c:v>
                </c:pt>
                <c:pt idx="5">
                  <c:v>1050.0</c:v>
                </c:pt>
                <c:pt idx="6">
                  <c:v>1260.0</c:v>
                </c:pt>
                <c:pt idx="7">
                  <c:v>1050.0</c:v>
                </c:pt>
                <c:pt idx="8">
                  <c:v>880.0</c:v>
                </c:pt>
                <c:pt idx="9">
                  <c:v>730.0</c:v>
                </c:pt>
                <c:pt idx="10">
                  <c:v>1050.0</c:v>
                </c:pt>
                <c:pt idx="11">
                  <c:v>880.0</c:v>
                </c:pt>
                <c:pt idx="12">
                  <c:v>730.0</c:v>
                </c:pt>
                <c:pt idx="13">
                  <c:v>610.0</c:v>
                </c:pt>
                <c:pt idx="14">
                  <c:v>510.0</c:v>
                </c:pt>
              </c:numCache>
            </c:numRef>
          </c:xVal>
          <c:yVal>
            <c:numRef>
              <c:f>'Trinomial Latice template'!$H$72:$H$86</c:f>
              <c:numCache>
                <c:formatCode>0.00</c:formatCode>
                <c:ptCount val="15"/>
                <c:pt idx="0">
                  <c:v>1</c:v>
                </c:pt>
                <c:pt idx="1">
                  <c:v>0.9984</c:v>
                </c:pt>
                <c:pt idx="2">
                  <c:v>0.987733333333333</c:v>
                </c:pt>
                <c:pt idx="3">
                  <c:v>0.987733333333333</c:v>
                </c:pt>
                <c:pt idx="4">
                  <c:v>0.946133333333333</c:v>
                </c:pt>
                <c:pt idx="5">
                  <c:v>0.841837037037037</c:v>
                </c:pt>
                <c:pt idx="6">
                  <c:v>0.946133333333333</c:v>
                </c:pt>
                <c:pt idx="7">
                  <c:v>0.841837037037037</c:v>
                </c:pt>
                <c:pt idx="8">
                  <c:v>0.65278024691358</c:v>
                </c:pt>
                <c:pt idx="9">
                  <c:v>0.409422222222222</c:v>
                </c:pt>
                <c:pt idx="10">
                  <c:v>0.841837037037037</c:v>
                </c:pt>
                <c:pt idx="11">
                  <c:v>0.65278024691358</c:v>
                </c:pt>
                <c:pt idx="12">
                  <c:v>0.409422222222222</c:v>
                </c:pt>
                <c:pt idx="13">
                  <c:v>0.182933333333333</c:v>
                </c:pt>
                <c:pt idx="14">
                  <c:v>0.0474271604938271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69944"/>
        <c:axId val="564782856"/>
      </c:scatterChart>
      <c:valAx>
        <c:axId val="57626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0.47757874015748"/>
              <c:y val="0.8900028503224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782856"/>
        <c:crosses val="autoZero"/>
        <c:crossBetween val="midCat"/>
      </c:valAx>
      <c:valAx>
        <c:axId val="564782856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0.029147991116495"/>
              <c:y val="0.3833345209676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269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14</xdr:row>
      <xdr:rowOff>12700</xdr:rowOff>
    </xdr:from>
    <xdr:to>
      <xdr:col>14</xdr:col>
      <xdr:colOff>254000</xdr:colOff>
      <xdr:row>28</xdr:row>
      <xdr:rowOff>152400</xdr:rowOff>
    </xdr:to>
    <xdr:graphicFrame macro="">
      <xdr:nvGraphicFramePr>
        <xdr:cNvPr id="10247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14</xdr:row>
      <xdr:rowOff>25400</xdr:rowOff>
    </xdr:from>
    <xdr:to>
      <xdr:col>20</xdr:col>
      <xdr:colOff>215900</xdr:colOff>
      <xdr:row>28</xdr:row>
      <xdr:rowOff>165100</xdr:rowOff>
    </xdr:to>
    <xdr:graphicFrame macro="">
      <xdr:nvGraphicFramePr>
        <xdr:cNvPr id="10247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14</xdr:row>
      <xdr:rowOff>12700</xdr:rowOff>
    </xdr:from>
    <xdr:to>
      <xdr:col>14</xdr:col>
      <xdr:colOff>254000</xdr:colOff>
      <xdr:row>28</xdr:row>
      <xdr:rowOff>152400</xdr:rowOff>
    </xdr:to>
    <xdr:graphicFrame macro="">
      <xdr:nvGraphicFramePr>
        <xdr:cNvPr id="11885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14</xdr:row>
      <xdr:rowOff>25400</xdr:rowOff>
    </xdr:from>
    <xdr:to>
      <xdr:col>20</xdr:col>
      <xdr:colOff>215900</xdr:colOff>
      <xdr:row>28</xdr:row>
      <xdr:rowOff>165100</xdr:rowOff>
    </xdr:to>
    <xdr:graphicFrame macro="">
      <xdr:nvGraphicFramePr>
        <xdr:cNvPr id="11885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15</xdr:row>
      <xdr:rowOff>12700</xdr:rowOff>
    </xdr:from>
    <xdr:to>
      <xdr:col>14</xdr:col>
      <xdr:colOff>254000</xdr:colOff>
      <xdr:row>29</xdr:row>
      <xdr:rowOff>152400</xdr:rowOff>
    </xdr:to>
    <xdr:graphicFrame macro="">
      <xdr:nvGraphicFramePr>
        <xdr:cNvPr id="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15</xdr:row>
      <xdr:rowOff>25400</xdr:rowOff>
    </xdr:from>
    <xdr:to>
      <xdr:col>20</xdr:col>
      <xdr:colOff>215900</xdr:colOff>
      <xdr:row>29</xdr:row>
      <xdr:rowOff>165100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11</xdr:row>
      <xdr:rowOff>63500</xdr:rowOff>
    </xdr:from>
    <xdr:to>
      <xdr:col>13</xdr:col>
      <xdr:colOff>660400</xdr:colOff>
      <xdr:row>36</xdr:row>
      <xdr:rowOff>63500</xdr:rowOff>
    </xdr:to>
    <xdr:graphicFrame macro="">
      <xdr:nvGraphicFramePr>
        <xdr:cNvPr id="327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15</xdr:row>
      <xdr:rowOff>12700</xdr:rowOff>
    </xdr:from>
    <xdr:to>
      <xdr:col>14</xdr:col>
      <xdr:colOff>254000</xdr:colOff>
      <xdr:row>29</xdr:row>
      <xdr:rowOff>152400</xdr:rowOff>
    </xdr:to>
    <xdr:graphicFrame macro="">
      <xdr:nvGraphicFramePr>
        <xdr:cNvPr id="5130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15</xdr:row>
      <xdr:rowOff>25400</xdr:rowOff>
    </xdr:from>
    <xdr:to>
      <xdr:col>20</xdr:col>
      <xdr:colOff>215900</xdr:colOff>
      <xdr:row>29</xdr:row>
      <xdr:rowOff>165100</xdr:rowOff>
    </xdr:to>
    <xdr:graphicFrame macro="">
      <xdr:nvGraphicFramePr>
        <xdr:cNvPr id="5130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249977111117893"/>
  </sheetPr>
  <dimension ref="B3:C11"/>
  <sheetViews>
    <sheetView workbookViewId="0">
      <selection activeCell="D6" sqref="D6"/>
    </sheetView>
  </sheetViews>
  <sheetFormatPr baseColWidth="10" defaultRowHeight="12" x14ac:dyDescent="0"/>
  <sheetData>
    <row r="3" spans="2:3" ht="15">
      <c r="B3" s="35" t="s">
        <v>63</v>
      </c>
      <c r="C3" s="35" t="s">
        <v>78</v>
      </c>
    </row>
    <row r="4" spans="2:3" ht="15">
      <c r="B4" s="36" t="s">
        <v>64</v>
      </c>
      <c r="C4" s="36" t="s">
        <v>69</v>
      </c>
    </row>
    <row r="5" spans="2:3" ht="15">
      <c r="B5" s="36" t="s">
        <v>61</v>
      </c>
      <c r="C5" s="36">
        <v>3167</v>
      </c>
    </row>
    <row r="6" spans="2:3" ht="15">
      <c r="B6" s="36" t="s">
        <v>65</v>
      </c>
      <c r="C6" s="36">
        <v>1003</v>
      </c>
    </row>
    <row r="7" spans="2:3" ht="15">
      <c r="B7" s="36" t="s">
        <v>66</v>
      </c>
      <c r="C7" s="36">
        <v>665</v>
      </c>
    </row>
    <row r="8" spans="2:3" ht="15">
      <c r="B8" s="36" t="s">
        <v>62</v>
      </c>
      <c r="C8" s="36">
        <v>5335</v>
      </c>
    </row>
    <row r="9" spans="2:3" ht="15">
      <c r="B9" s="36" t="s">
        <v>67</v>
      </c>
      <c r="C9" s="36">
        <v>2100</v>
      </c>
    </row>
    <row r="10" spans="2:3" ht="15">
      <c r="B10" s="36" t="s">
        <v>70</v>
      </c>
      <c r="C10" s="36">
        <v>4579</v>
      </c>
    </row>
    <row r="11" spans="2:3" ht="15">
      <c r="B11" s="36" t="s">
        <v>68</v>
      </c>
      <c r="C11" s="37">
        <v>2060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</sheetPr>
  <dimension ref="A1:Q119"/>
  <sheetViews>
    <sheetView workbookViewId="0">
      <pane ySplit="14" topLeftCell="A15" activePane="bottomLeft" state="frozenSplit"/>
      <selection pane="bottomLeft" activeCell="L13" sqref="L13"/>
    </sheetView>
  </sheetViews>
  <sheetFormatPr baseColWidth="10" defaultColWidth="8.83203125" defaultRowHeight="15" x14ac:dyDescent="0"/>
  <cols>
    <col min="1" max="2" width="8.83203125" style="7"/>
    <col min="3" max="3" width="17.33203125" style="7" customWidth="1"/>
    <col min="4" max="4" width="9.5" style="7" bestFit="1" customWidth="1"/>
    <col min="5" max="6" width="9.83203125" style="7" bestFit="1" customWidth="1"/>
    <col min="7" max="7" width="10.33203125" style="7" customWidth="1"/>
    <col min="8" max="8" width="10.1640625" style="7" customWidth="1"/>
    <col min="9" max="9" width="10.5" style="7" bestFit="1" customWidth="1"/>
    <col min="10" max="10" width="11" style="7" bestFit="1" customWidth="1"/>
    <col min="11" max="16384" width="8.83203125" style="7"/>
  </cols>
  <sheetData>
    <row r="1" spans="1:17" s="24" customFormat="1" ht="20" thickBot="1">
      <c r="C1" s="24" t="s">
        <v>45</v>
      </c>
    </row>
    <row r="2" spans="1:17" ht="16" thickTop="1">
      <c r="C2" s="23" t="s">
        <v>22</v>
      </c>
    </row>
    <row r="3" spans="1:17" s="25" customFormat="1">
      <c r="C3" s="25" t="s">
        <v>43</v>
      </c>
    </row>
    <row r="4" spans="1:17" s="25" customFormat="1">
      <c r="C4" s="25" t="s">
        <v>44</v>
      </c>
    </row>
    <row r="5" spans="1:17">
      <c r="H5" s="33" t="s">
        <v>61</v>
      </c>
      <c r="I5" s="33" t="s">
        <v>62</v>
      </c>
    </row>
    <row r="6" spans="1:17">
      <c r="C6" s="28" t="s">
        <v>46</v>
      </c>
      <c r="D6" s="2">
        <f>c_coal_ccs</f>
        <v>4579</v>
      </c>
      <c r="E6" s="33" t="s">
        <v>53</v>
      </c>
      <c r="G6" s="7" t="s">
        <v>71</v>
      </c>
      <c r="H6" s="1">
        <f>c_coal</f>
        <v>3167</v>
      </c>
      <c r="I6" s="1">
        <f>c_nuke</f>
        <v>5335</v>
      </c>
      <c r="K6" s="10" t="s">
        <v>28</v>
      </c>
      <c r="L6" s="4">
        <v>0.2</v>
      </c>
      <c r="M6" s="7" t="s">
        <v>39</v>
      </c>
    </row>
    <row r="7" spans="1:17">
      <c r="C7" s="28" t="s">
        <v>56</v>
      </c>
      <c r="D7" s="1">
        <f>E7*$D$6</f>
        <v>6410.5999999999995</v>
      </c>
      <c r="E7" s="2">
        <v>1.4</v>
      </c>
      <c r="G7" s="7" t="s">
        <v>72</v>
      </c>
      <c r="H7" s="17">
        <f>$D7/H$6</f>
        <v>2.0241869276918218</v>
      </c>
      <c r="I7" s="17">
        <f>$D7/I$6</f>
        <v>1.2016119962511713</v>
      </c>
      <c r="K7" s="10" t="s">
        <v>29</v>
      </c>
      <c r="L7" s="4">
        <v>0.3</v>
      </c>
      <c r="M7" s="7" t="s">
        <v>40</v>
      </c>
    </row>
    <row r="8" spans="1:17">
      <c r="C8" s="9" t="s">
        <v>21</v>
      </c>
      <c r="D8" s="4">
        <v>3</v>
      </c>
      <c r="H8" s="17"/>
      <c r="I8" s="17"/>
      <c r="K8" s="10" t="s">
        <v>30</v>
      </c>
      <c r="L8" s="5">
        <f>1-SUM(L6:L7)</f>
        <v>0.5</v>
      </c>
    </row>
    <row r="9" spans="1:17">
      <c r="C9" s="9" t="s">
        <v>57</v>
      </c>
      <c r="D9" s="1">
        <f>E9*$D$6</f>
        <v>6410.5999999999995</v>
      </c>
      <c r="E9" s="2">
        <v>1.4</v>
      </c>
      <c r="G9" s="7" t="s">
        <v>73</v>
      </c>
      <c r="H9" s="17">
        <f>$D9/H$6</f>
        <v>2.0241869276918218</v>
      </c>
      <c r="I9" s="17">
        <f>$D9/I$6</f>
        <v>1.2016119962511713</v>
      </c>
      <c r="K9" s="7" t="s">
        <v>31</v>
      </c>
      <c r="L9" s="40">
        <v>1</v>
      </c>
      <c r="M9" s="5">
        <f>POWER(v_max/v_start, 1/n_periods)</f>
        <v>1</v>
      </c>
      <c r="N9" s="7" t="s">
        <v>36</v>
      </c>
    </row>
    <row r="10" spans="1:17">
      <c r="C10" s="12" t="s">
        <v>58</v>
      </c>
      <c r="D10" s="1">
        <f>E10*$D$6</f>
        <v>3663.2000000000003</v>
      </c>
      <c r="E10" s="2">
        <v>0.8</v>
      </c>
      <c r="G10" s="7" t="s">
        <v>74</v>
      </c>
      <c r="H10" s="17">
        <f>$D10/H$6</f>
        <v>1.156678244395327</v>
      </c>
      <c r="I10" s="17">
        <f>$D10/I$6</f>
        <v>0.68663542642924091</v>
      </c>
      <c r="K10" s="7" t="s">
        <v>32</v>
      </c>
      <c r="L10" s="40">
        <v>0.91100000000000003</v>
      </c>
      <c r="M10" s="26">
        <f>SQRT(low/hi)*hi</f>
        <v>0.91104335791442992</v>
      </c>
      <c r="N10" s="7" t="s">
        <v>47</v>
      </c>
    </row>
    <row r="11" spans="1:17">
      <c r="C11" s="28" t="s">
        <v>54</v>
      </c>
      <c r="D11" s="2">
        <f>D6</f>
        <v>4579</v>
      </c>
      <c r="H11" s="17"/>
      <c r="I11" s="17"/>
      <c r="K11" s="7" t="s">
        <v>33</v>
      </c>
      <c r="L11" s="40">
        <v>0.83</v>
      </c>
      <c r="M11" s="5">
        <f>POWER(v_min/v_start, 1/n_periods)</f>
        <v>0.82982653336624346</v>
      </c>
    </row>
    <row r="12" spans="1:17">
      <c r="C12" s="28" t="s">
        <v>81</v>
      </c>
      <c r="D12" s="39">
        <f ca="1">AVERAGEIF(OFFSET(D104,0,n_periods,ROWS(D15:D30)),MAX(OFFSET(D104,0,n_periods,ROWS(D15:D30))),OFFSET(D15,0,n_periods,ROWS(D15:D30)))</f>
        <v>4420</v>
      </c>
      <c r="H12" s="17"/>
      <c r="I12" s="17"/>
      <c r="K12" s="7" t="s">
        <v>86</v>
      </c>
      <c r="L12" s="2">
        <v>-1</v>
      </c>
      <c r="M12" s="7" t="s">
        <v>87</v>
      </c>
      <c r="N12" s="7">
        <f>10^(-ccs_round)</f>
        <v>10</v>
      </c>
      <c r="O12" s="7" t="s">
        <v>88</v>
      </c>
      <c r="P12" s="38">
        <f>N12/D6</f>
        <v>2.1838829438742082E-3</v>
      </c>
      <c r="Q12" s="7" t="s">
        <v>90</v>
      </c>
    </row>
    <row r="13" spans="1:17">
      <c r="D13" s="7">
        <v>2010</v>
      </c>
      <c r="E13" s="7">
        <v>2020</v>
      </c>
      <c r="F13" s="7">
        <v>2030</v>
      </c>
      <c r="G13" s="7">
        <v>2040</v>
      </c>
    </row>
    <row r="14" spans="1:17">
      <c r="A14" s="7" t="s">
        <v>26</v>
      </c>
      <c r="B14" s="7" t="s">
        <v>27</v>
      </c>
      <c r="D14" s="16">
        <v>0</v>
      </c>
      <c r="E14" s="16">
        <v>1</v>
      </c>
      <c r="F14" s="16">
        <v>2</v>
      </c>
      <c r="G14" s="16">
        <v>3</v>
      </c>
      <c r="H14" s="16">
        <v>4</v>
      </c>
    </row>
    <row r="15" spans="1:17">
      <c r="A15" s="7">
        <v>0</v>
      </c>
      <c r="B15" s="7">
        <v>0</v>
      </c>
      <c r="C15" s="3" t="s">
        <v>25</v>
      </c>
      <c r="D15" s="17">
        <f>ROUND(v_start,ccs_round)</f>
        <v>6410</v>
      </c>
      <c r="E15" s="17">
        <f>ROUND(v_start*hi^(E$14-SUM($A15:$B15))*mid^$A15*low^$B15,ccs_round)</f>
        <v>6410</v>
      </c>
      <c r="F15" s="17">
        <f>ROUND(v_start*hi^(F$14-SUM($A15:$B15))*mid^$A15*low^$B15,ccs_round)</f>
        <v>6410</v>
      </c>
      <c r="G15" s="17">
        <f>ROUND(v_start*hi^(G$14-SUM($A15:$B15))*mid^$A15*low^$B15,ccs_round)</f>
        <v>6410</v>
      </c>
      <c r="H15" s="17">
        <f>ROUND(v_start*hi^(H$14-SUM($A15:$B15))*mid^$A15*low^$B15,ccs_round)</f>
        <v>6410</v>
      </c>
    </row>
    <row r="16" spans="1:17">
      <c r="A16" s="7">
        <v>1</v>
      </c>
      <c r="B16" s="7">
        <v>0</v>
      </c>
      <c r="C16" s="3"/>
      <c r="D16" s="17"/>
      <c r="E16" s="17">
        <f>ROUND(v_start*hi^(E$14-SUM($A16:$B16))*mid^$A16*low^$B16,ccs_round)</f>
        <v>5840</v>
      </c>
      <c r="F16" s="17">
        <f>ROUND(v_start*hi^(F$14-SUM($A16:$B16))*mid^$A16*low^$B16,ccs_round)</f>
        <v>5840</v>
      </c>
      <c r="G16" s="17">
        <f>ROUND(v_start*hi^(G$14-SUM($A16:$B16))*mid^$A16*low^$B16,ccs_round)</f>
        <v>5840</v>
      </c>
      <c r="H16" s="17">
        <f>ROUND(v_start*hi^(H$14-SUM($A16:$B16))*mid^$A16*low^$B16,ccs_round)</f>
        <v>5840</v>
      </c>
    </row>
    <row r="17" spans="1:8">
      <c r="A17" s="7">
        <v>0</v>
      </c>
      <c r="B17" s="7">
        <v>1</v>
      </c>
      <c r="D17" s="17"/>
      <c r="E17" s="17">
        <f>ROUND(v_start*hi^(E$14-SUM($A17:$B17))*mid^$A17*low^$B17,ccs_round)</f>
        <v>5320</v>
      </c>
      <c r="F17" s="17">
        <f>ROUND(v_start*hi^(F$14-SUM($A17:$B17))*mid^$A17*low^$B17,ccs_round)</f>
        <v>5320</v>
      </c>
      <c r="G17" s="17">
        <f>ROUND(v_start*hi^(G$14-SUM($A17:$B17))*mid^$A17*low^$B17,ccs_round)</f>
        <v>5320</v>
      </c>
      <c r="H17" s="17">
        <f>ROUND(v_start*hi^(H$14-SUM($A17:$B17))*mid^$A17*low^$B17,ccs_round)</f>
        <v>5320</v>
      </c>
    </row>
    <row r="18" spans="1:8">
      <c r="A18" s="7">
        <v>2</v>
      </c>
      <c r="B18" s="7">
        <v>0</v>
      </c>
      <c r="D18" s="17"/>
      <c r="E18" s="17"/>
      <c r="F18" s="17">
        <f>ROUND(v_start*hi^(F$14-SUM($A18:$B18))*mid^$A18*low^$B18,ccs_round)</f>
        <v>5320</v>
      </c>
      <c r="G18" s="17">
        <f>ROUND(v_start*hi^(G$14-SUM($A18:$B18))*mid^$A18*low^$B18,ccs_round)</f>
        <v>5320</v>
      </c>
      <c r="H18" s="17">
        <f>ROUND(v_start*hi^(H$14-SUM($A18:$B18))*mid^$A18*low^$B18,ccs_round)</f>
        <v>5320</v>
      </c>
    </row>
    <row r="19" spans="1:8">
      <c r="A19" s="7">
        <v>1</v>
      </c>
      <c r="B19" s="7">
        <v>1</v>
      </c>
      <c r="D19" s="17"/>
      <c r="E19" s="17"/>
      <c r="F19" s="17">
        <f>ROUND(v_start*hi^(F$14-SUM($A19:$B19))*mid^$A19*low^$B19,ccs_round)</f>
        <v>4850</v>
      </c>
      <c r="G19" s="17">
        <f>ROUND(v_start*hi^(G$14-SUM($A19:$B19))*mid^$A19*low^$B19,ccs_round)</f>
        <v>4850</v>
      </c>
      <c r="H19" s="17">
        <f>ROUND(v_start*hi^(H$14-SUM($A19:$B19))*mid^$A19*low^$B19,ccs_round)</f>
        <v>4850</v>
      </c>
    </row>
    <row r="20" spans="1:8">
      <c r="A20" s="7">
        <v>0</v>
      </c>
      <c r="B20" s="7">
        <v>2</v>
      </c>
      <c r="D20" s="17"/>
      <c r="E20" s="17"/>
      <c r="F20" s="17">
        <f>ROUND(v_start*hi^(F$14-SUM($A20:$B20))*mid^$A20*low^$B20,ccs_round)</f>
        <v>4420</v>
      </c>
      <c r="G20" s="17">
        <f>ROUND(v_start*hi^(G$14-SUM($A20:$B20))*mid^$A20*low^$B20,ccs_round)</f>
        <v>4420</v>
      </c>
      <c r="H20" s="17">
        <f>ROUND(v_start*hi^(H$14-SUM($A20:$B20))*mid^$A20*low^$B20,ccs_round)</f>
        <v>4420</v>
      </c>
    </row>
    <row r="21" spans="1:8">
      <c r="A21" s="7">
        <v>3</v>
      </c>
      <c r="B21" s="7">
        <v>0</v>
      </c>
      <c r="D21" s="17"/>
      <c r="E21" s="17"/>
      <c r="F21" s="17"/>
      <c r="G21" s="17">
        <f>ROUND(v_start*hi^(G$14-SUM($A21:$B21))*mid^$A21*low^$B21,ccs_round)</f>
        <v>4850</v>
      </c>
      <c r="H21" s="17">
        <f>ROUND(v_start*hi^(H$14-SUM($A21:$B21))*mid^$A21*low^$B21,ccs_round)</f>
        <v>4850</v>
      </c>
    </row>
    <row r="22" spans="1:8">
      <c r="A22" s="7">
        <v>2</v>
      </c>
      <c r="B22" s="7">
        <v>1</v>
      </c>
      <c r="D22" s="17"/>
      <c r="E22" s="17"/>
      <c r="F22" s="17"/>
      <c r="G22" s="17">
        <f>ROUND(v_start*hi^(G$14-SUM($A22:$B22))*mid^$A22*low^$B22,ccs_round)</f>
        <v>4420</v>
      </c>
      <c r="H22" s="17">
        <f>ROUND(v_start*hi^(H$14-SUM($A22:$B22))*mid^$A22*low^$B22,ccs_round)</f>
        <v>4420</v>
      </c>
    </row>
    <row r="23" spans="1:8">
      <c r="A23" s="7">
        <v>1</v>
      </c>
      <c r="B23" s="7">
        <v>2</v>
      </c>
      <c r="D23" s="17"/>
      <c r="E23" s="17"/>
      <c r="F23" s="17"/>
      <c r="G23" s="17">
        <f>ROUND(v_start*hi^(G$14-SUM($A23:$B23))*mid^$A23*low^$B23,ccs_round)</f>
        <v>4020</v>
      </c>
      <c r="H23" s="17">
        <f>ROUND(v_start*hi^(H$14-SUM($A23:$B23))*mid^$A23*low^$B23,ccs_round)</f>
        <v>4020</v>
      </c>
    </row>
    <row r="24" spans="1:8">
      <c r="A24" s="7">
        <v>0</v>
      </c>
      <c r="B24" s="7">
        <v>3</v>
      </c>
      <c r="D24" s="17"/>
      <c r="E24" s="17"/>
      <c r="F24" s="17"/>
      <c r="G24" s="17">
        <f>ROUND(v_start*hi^(G$14-SUM($A24:$B24))*mid^$A24*low^$B24,ccs_round)</f>
        <v>3670</v>
      </c>
      <c r="H24" s="17">
        <f>ROUND(v_start*hi^(H$14-SUM($A24:$B24))*mid^$A24*low^$B24,ccs_round)</f>
        <v>3670</v>
      </c>
    </row>
    <row r="25" spans="1:8">
      <c r="A25" s="7">
        <v>4</v>
      </c>
      <c r="B25" s="7">
        <v>0</v>
      </c>
      <c r="D25" s="17"/>
      <c r="E25" s="17"/>
      <c r="F25" s="17"/>
      <c r="G25" s="17"/>
      <c r="H25" s="17">
        <f>ROUND(v_start*hi^(H$14-SUM($A25:$B25))*mid^$A25*low^$B25,ccs_round)</f>
        <v>4420</v>
      </c>
    </row>
    <row r="26" spans="1:8">
      <c r="A26" s="7">
        <v>3</v>
      </c>
      <c r="B26" s="7">
        <v>1</v>
      </c>
      <c r="D26" s="17"/>
      <c r="E26" s="17"/>
      <c r="F26" s="17"/>
      <c r="G26" s="17"/>
      <c r="H26" s="17">
        <f>ROUND(v_start*hi^(H$14-SUM($A26:$B26))*mid^$A26*low^$B26,ccs_round)</f>
        <v>4020</v>
      </c>
    </row>
    <row r="27" spans="1:8" s="18" customFormat="1">
      <c r="A27" s="18">
        <v>2</v>
      </c>
      <c r="B27" s="7">
        <v>2</v>
      </c>
      <c r="H27" s="17">
        <f>ROUND(v_start*hi^(H$14-SUM($A27:$B27))*mid^$A27*low^$B27,ccs_round)</f>
        <v>3670</v>
      </c>
    </row>
    <row r="28" spans="1:8" s="18" customFormat="1">
      <c r="A28" s="18">
        <v>1</v>
      </c>
      <c r="B28" s="18">
        <v>3</v>
      </c>
      <c r="H28" s="17">
        <f>ROUND(v_start*hi^(H$14-SUM($A28:$B28))*mid^$A28*low^$B28,ccs_round)</f>
        <v>3340</v>
      </c>
    </row>
    <row r="29" spans="1:8" s="18" customFormat="1">
      <c r="A29" s="18">
        <v>0</v>
      </c>
      <c r="B29" s="18">
        <v>4</v>
      </c>
      <c r="H29" s="17">
        <f>ROUND(v_start*hi^(H$14-SUM($A29:$B29))*mid^$A29*low^$B29,ccs_round)</f>
        <v>3040</v>
      </c>
    </row>
    <row r="30" spans="1:8" s="27" customFormat="1">
      <c r="C30" s="27" t="s">
        <v>34</v>
      </c>
    </row>
    <row r="31" spans="1:8" customFormat="1" ht="12"/>
    <row r="32" spans="1:8">
      <c r="C32" s="7" t="s">
        <v>84</v>
      </c>
      <c r="D32" s="18">
        <f>SUMPRODUCT(D15:D30,D52:D67)</f>
        <v>6410</v>
      </c>
      <c r="E32" s="18">
        <f>SUMPRODUCT(E15:E30,E52:E67)</f>
        <v>5694</v>
      </c>
      <c r="F32" s="18">
        <f>SUMPRODUCT(F15:F30,F52:F67)</f>
        <v>5060</v>
      </c>
      <c r="G32" s="18">
        <f>SUMPRODUCT(G15:G30,G52:G67)</f>
        <v>4494.9000000000005</v>
      </c>
      <c r="H32" s="18">
        <f>SUMPRODUCT(H15:H30,H52:H67)</f>
        <v>3992.8040000000001</v>
      </c>
    </row>
    <row r="33" spans="1:8">
      <c r="C33" s="7" t="s">
        <v>85</v>
      </c>
      <c r="D33" s="17">
        <f>D32/$D$6</f>
        <v>1.3998689670233675</v>
      </c>
      <c r="E33" s="17">
        <f>E32/$D$6</f>
        <v>1.2435029482419742</v>
      </c>
      <c r="F33" s="17">
        <f>F32/$D$6</f>
        <v>1.1050447696003494</v>
      </c>
      <c r="G33" s="17">
        <f>G32/$D$6</f>
        <v>0.981633544442018</v>
      </c>
      <c r="H33" s="17">
        <f>H32/$D$6</f>
        <v>0.87198165538327144</v>
      </c>
    </row>
    <row r="35" spans="1:8">
      <c r="A35" s="7">
        <v>0</v>
      </c>
      <c r="B35" s="7">
        <v>0</v>
      </c>
      <c r="C35" s="3" t="s">
        <v>42</v>
      </c>
      <c r="D35" s="19">
        <f>D15/v_ref</f>
        <v>1.3998689670233675</v>
      </c>
      <c r="E35" s="19">
        <f>E15/v_ref</f>
        <v>1.3998689670233675</v>
      </c>
      <c r="F35" s="19">
        <f>F15/v_ref</f>
        <v>1.3998689670233675</v>
      </c>
      <c r="G35" s="19">
        <f>G15/v_ref</f>
        <v>1.3998689670233675</v>
      </c>
      <c r="H35" s="19">
        <f>H15/v_ref</f>
        <v>1.3998689670233675</v>
      </c>
    </row>
    <row r="36" spans="1:8">
      <c r="A36" s="7">
        <v>1</v>
      </c>
      <c r="B36" s="7">
        <v>0</v>
      </c>
      <c r="C36" s="3"/>
      <c r="D36" s="19"/>
      <c r="E36" s="19">
        <f t="shared" ref="E36:H37" si="0">E16/v_ref</f>
        <v>1.2753876392225376</v>
      </c>
      <c r="F36" s="19">
        <f t="shared" si="0"/>
        <v>1.2753876392225376</v>
      </c>
      <c r="G36" s="19">
        <f t="shared" si="0"/>
        <v>1.2753876392225376</v>
      </c>
      <c r="H36" s="19">
        <f t="shared" si="0"/>
        <v>1.2753876392225376</v>
      </c>
    </row>
    <row r="37" spans="1:8">
      <c r="A37" s="7">
        <v>0</v>
      </c>
      <c r="B37" s="7">
        <v>1</v>
      </c>
      <c r="D37" s="19"/>
      <c r="E37" s="19">
        <f t="shared" si="0"/>
        <v>1.1618257261410789</v>
      </c>
      <c r="F37" s="19">
        <f t="shared" si="0"/>
        <v>1.1618257261410789</v>
      </c>
      <c r="G37" s="19">
        <f t="shared" si="0"/>
        <v>1.1618257261410789</v>
      </c>
      <c r="H37" s="19">
        <f t="shared" si="0"/>
        <v>1.1618257261410789</v>
      </c>
    </row>
    <row r="38" spans="1:8">
      <c r="A38" s="7">
        <v>2</v>
      </c>
      <c r="B38" s="7">
        <v>0</v>
      </c>
      <c r="D38" s="19"/>
      <c r="E38" s="19"/>
      <c r="F38" s="19">
        <f t="shared" ref="F38:H40" si="1">F18/v_ref</f>
        <v>1.1618257261410789</v>
      </c>
      <c r="G38" s="19">
        <f t="shared" si="1"/>
        <v>1.1618257261410789</v>
      </c>
      <c r="H38" s="19">
        <f t="shared" si="1"/>
        <v>1.1618257261410789</v>
      </c>
    </row>
    <row r="39" spans="1:8">
      <c r="A39" s="7">
        <v>1</v>
      </c>
      <c r="B39" s="7">
        <v>1</v>
      </c>
      <c r="D39" s="19"/>
      <c r="E39" s="19"/>
      <c r="F39" s="19">
        <f t="shared" si="1"/>
        <v>1.059183227778991</v>
      </c>
      <c r="G39" s="19">
        <f t="shared" si="1"/>
        <v>1.059183227778991</v>
      </c>
      <c r="H39" s="19">
        <f t="shared" si="1"/>
        <v>1.059183227778991</v>
      </c>
    </row>
    <row r="40" spans="1:8">
      <c r="A40" s="7">
        <v>0</v>
      </c>
      <c r="B40" s="7">
        <v>2</v>
      </c>
      <c r="D40" s="19"/>
      <c r="E40" s="19"/>
      <c r="F40" s="19">
        <f t="shared" si="1"/>
        <v>0.96527626119240006</v>
      </c>
      <c r="G40" s="19">
        <f t="shared" si="1"/>
        <v>0.96527626119240006</v>
      </c>
      <c r="H40" s="19">
        <f t="shared" si="1"/>
        <v>0.96527626119240006</v>
      </c>
    </row>
    <row r="41" spans="1:8">
      <c r="A41" s="7">
        <v>3</v>
      </c>
      <c r="B41" s="7">
        <v>0</v>
      </c>
      <c r="D41" s="19"/>
      <c r="E41" s="19"/>
      <c r="F41" s="19"/>
      <c r="G41" s="19">
        <f t="shared" ref="G41:H44" si="2">G21/v_ref</f>
        <v>1.059183227778991</v>
      </c>
      <c r="H41" s="19">
        <f t="shared" si="2"/>
        <v>1.059183227778991</v>
      </c>
    </row>
    <row r="42" spans="1:8">
      <c r="A42" s="7">
        <v>2</v>
      </c>
      <c r="B42" s="7">
        <v>1</v>
      </c>
      <c r="D42" s="19"/>
      <c r="E42" s="19"/>
      <c r="F42" s="19"/>
      <c r="G42" s="19">
        <f t="shared" si="2"/>
        <v>0.96527626119240006</v>
      </c>
      <c r="H42" s="19">
        <f t="shared" si="2"/>
        <v>0.96527626119240006</v>
      </c>
    </row>
    <row r="43" spans="1:8">
      <c r="A43" s="7">
        <v>1</v>
      </c>
      <c r="B43" s="7">
        <v>2</v>
      </c>
      <c r="D43" s="19"/>
      <c r="E43" s="19"/>
      <c r="F43" s="19"/>
      <c r="G43" s="19">
        <f t="shared" si="2"/>
        <v>0.87792094343743177</v>
      </c>
      <c r="H43" s="19">
        <f t="shared" si="2"/>
        <v>0.87792094343743177</v>
      </c>
    </row>
    <row r="44" spans="1:8">
      <c r="A44" s="7">
        <v>0</v>
      </c>
      <c r="B44" s="7">
        <v>3</v>
      </c>
      <c r="D44" s="19"/>
      <c r="E44" s="19"/>
      <c r="F44" s="19"/>
      <c r="G44" s="19">
        <f t="shared" si="2"/>
        <v>0.80148504040183444</v>
      </c>
      <c r="H44" s="19">
        <f t="shared" si="2"/>
        <v>0.80148504040183444</v>
      </c>
    </row>
    <row r="45" spans="1:8">
      <c r="A45" s="7">
        <v>4</v>
      </c>
      <c r="B45" s="7">
        <v>0</v>
      </c>
      <c r="D45" s="19"/>
      <c r="E45" s="19"/>
      <c r="F45" s="19"/>
      <c r="G45" s="19"/>
      <c r="H45" s="19">
        <f>H25/v_ref</f>
        <v>0.96527626119240006</v>
      </c>
    </row>
    <row r="46" spans="1:8">
      <c r="A46" s="7">
        <v>3</v>
      </c>
      <c r="B46" s="7">
        <v>1</v>
      </c>
      <c r="D46" s="19"/>
      <c r="E46" s="19"/>
      <c r="F46" s="19"/>
      <c r="G46" s="19"/>
      <c r="H46" s="19">
        <f>H26/v_ref</f>
        <v>0.87792094343743177</v>
      </c>
    </row>
    <row r="47" spans="1:8" s="18" customFormat="1">
      <c r="A47" s="18">
        <v>2</v>
      </c>
      <c r="B47" s="7">
        <v>2</v>
      </c>
      <c r="D47" s="19"/>
      <c r="E47" s="19"/>
      <c r="F47" s="19"/>
      <c r="G47" s="19"/>
      <c r="H47" s="19">
        <f>H27/v_ref</f>
        <v>0.80148504040183444</v>
      </c>
    </row>
    <row r="48" spans="1:8" s="18" customFormat="1">
      <c r="A48" s="18">
        <v>1</v>
      </c>
      <c r="B48" s="18">
        <v>3</v>
      </c>
      <c r="D48" s="19"/>
      <c r="E48" s="19"/>
      <c r="F48" s="19"/>
      <c r="G48" s="19"/>
      <c r="H48" s="19">
        <f>H28/v_ref</f>
        <v>0.72941690325398556</v>
      </c>
    </row>
    <row r="49" spans="1:8" s="18" customFormat="1">
      <c r="A49" s="18">
        <v>0</v>
      </c>
      <c r="B49" s="18">
        <v>4</v>
      </c>
      <c r="D49" s="19"/>
      <c r="E49" s="19"/>
      <c r="F49" s="19"/>
      <c r="G49" s="19"/>
      <c r="H49" s="19">
        <f>H29/v_ref</f>
        <v>0.66390041493775931</v>
      </c>
    </row>
    <row r="50" spans="1:8" s="27" customFormat="1">
      <c r="C50" s="27" t="s">
        <v>34</v>
      </c>
    </row>
    <row r="51" spans="1:8" customFormat="1" ht="12"/>
    <row r="52" spans="1:8">
      <c r="A52" s="7">
        <f t="shared" ref="A52:B66" si="3">A15</f>
        <v>0</v>
      </c>
      <c r="B52" s="7">
        <f t="shared" si="3"/>
        <v>0</v>
      </c>
      <c r="C52" s="3" t="s">
        <v>12</v>
      </c>
      <c r="D52" s="17">
        <v>1</v>
      </c>
      <c r="E52" s="17">
        <f t="shared" ref="E52:H54" si="4">MULTINOMIAL(E$14-SUM($A52:$B52),$A52,$B52)*Prob_hi^(E$14-SUM($A52:$B52))*Prob_mid^$A52*Prob_low^$B52</f>
        <v>0.2</v>
      </c>
      <c r="F52" s="17">
        <f t="shared" si="4"/>
        <v>4.0000000000000008E-2</v>
      </c>
      <c r="G52" s="17">
        <f t="shared" si="4"/>
        <v>8.0000000000000019E-3</v>
      </c>
      <c r="H52" s="17">
        <f t="shared" si="4"/>
        <v>1.6000000000000003E-3</v>
      </c>
    </row>
    <row r="53" spans="1:8">
      <c r="A53" s="7">
        <f t="shared" si="3"/>
        <v>1</v>
      </c>
      <c r="B53" s="7">
        <f t="shared" si="3"/>
        <v>0</v>
      </c>
      <c r="D53" s="17"/>
      <c r="E53" s="17">
        <f t="shared" si="4"/>
        <v>0.3</v>
      </c>
      <c r="F53" s="17">
        <f t="shared" si="4"/>
        <v>0.12</v>
      </c>
      <c r="G53" s="17">
        <f t="shared" si="4"/>
        <v>3.6000000000000011E-2</v>
      </c>
      <c r="H53" s="17">
        <f t="shared" si="4"/>
        <v>9.6000000000000026E-3</v>
      </c>
    </row>
    <row r="54" spans="1:8">
      <c r="A54" s="7">
        <f t="shared" si="3"/>
        <v>0</v>
      </c>
      <c r="B54" s="7">
        <f t="shared" si="3"/>
        <v>1</v>
      </c>
      <c r="D54" s="17"/>
      <c r="E54" s="17">
        <f t="shared" si="4"/>
        <v>0.5</v>
      </c>
      <c r="F54" s="17">
        <f t="shared" si="4"/>
        <v>0.2</v>
      </c>
      <c r="G54" s="17">
        <f t="shared" si="4"/>
        <v>6.0000000000000019E-2</v>
      </c>
      <c r="H54" s="17">
        <f t="shared" si="4"/>
        <v>1.6000000000000004E-2</v>
      </c>
    </row>
    <row r="55" spans="1:8">
      <c r="A55" s="7">
        <f t="shared" si="3"/>
        <v>2</v>
      </c>
      <c r="B55" s="7">
        <f t="shared" si="3"/>
        <v>0</v>
      </c>
      <c r="D55" s="17"/>
      <c r="E55" s="17"/>
      <c r="F55" s="17">
        <f t="shared" ref="F55:H57" si="5">MULTINOMIAL(F$14-SUM($A55:$B55),$A55,$B55)*Prob_hi^(F$14-SUM($A55:$B55))*Prob_mid^$A55*Prob_low^$B55</f>
        <v>0.09</v>
      </c>
      <c r="G55" s="17">
        <f t="shared" si="5"/>
        <v>5.4000000000000006E-2</v>
      </c>
      <c r="H55" s="17">
        <f t="shared" si="5"/>
        <v>2.1599999999999994E-2</v>
      </c>
    </row>
    <row r="56" spans="1:8">
      <c r="A56" s="7">
        <f t="shared" si="3"/>
        <v>1</v>
      </c>
      <c r="B56" s="7">
        <f t="shared" si="3"/>
        <v>1</v>
      </c>
      <c r="D56" s="17"/>
      <c r="E56" s="17"/>
      <c r="F56" s="17">
        <f t="shared" si="5"/>
        <v>0.3</v>
      </c>
      <c r="G56" s="17">
        <f t="shared" si="5"/>
        <v>0.18000000000000002</v>
      </c>
      <c r="H56" s="17">
        <f t="shared" si="5"/>
        <v>7.2000000000000008E-2</v>
      </c>
    </row>
    <row r="57" spans="1:8">
      <c r="A57" s="7">
        <f t="shared" si="3"/>
        <v>0</v>
      </c>
      <c r="B57" s="7">
        <f t="shared" si="3"/>
        <v>2</v>
      </c>
      <c r="D57" s="17"/>
      <c r="E57" s="17"/>
      <c r="F57" s="17">
        <f t="shared" si="5"/>
        <v>0.25</v>
      </c>
      <c r="G57" s="17">
        <f t="shared" si="5"/>
        <v>0.15000000000000002</v>
      </c>
      <c r="H57" s="17">
        <f t="shared" si="5"/>
        <v>5.9999999999999991E-2</v>
      </c>
    </row>
    <row r="58" spans="1:8">
      <c r="A58" s="7">
        <f t="shared" si="3"/>
        <v>3</v>
      </c>
      <c r="B58" s="7">
        <f t="shared" si="3"/>
        <v>0</v>
      </c>
      <c r="E58" s="17"/>
      <c r="F58" s="17"/>
      <c r="G58" s="17">
        <f t="shared" ref="G58:H61" si="6">MULTINOMIAL(G$14-SUM($A58:$B58),$A58,$B58)*Prob_hi^(G$14-SUM($A58:$B58))*Prob_mid^$A58*Prob_low^$B58</f>
        <v>2.7E-2</v>
      </c>
      <c r="H58" s="17">
        <f t="shared" si="6"/>
        <v>2.1600000000000001E-2</v>
      </c>
    </row>
    <row r="59" spans="1:8">
      <c r="A59" s="7">
        <f t="shared" si="3"/>
        <v>2</v>
      </c>
      <c r="B59" s="7">
        <f t="shared" si="3"/>
        <v>1</v>
      </c>
      <c r="E59" s="17"/>
      <c r="F59" s="17"/>
      <c r="G59" s="17">
        <f t="shared" si="6"/>
        <v>0.13500000000000001</v>
      </c>
      <c r="H59" s="17">
        <f t="shared" si="6"/>
        <v>0.10800000000000001</v>
      </c>
    </row>
    <row r="60" spans="1:8">
      <c r="A60" s="7">
        <f t="shared" si="3"/>
        <v>1</v>
      </c>
      <c r="B60" s="7">
        <f t="shared" si="3"/>
        <v>2</v>
      </c>
      <c r="E60" s="17"/>
      <c r="F60" s="17"/>
      <c r="G60" s="17">
        <f t="shared" si="6"/>
        <v>0.22500000000000003</v>
      </c>
      <c r="H60" s="17">
        <f t="shared" si="6"/>
        <v>0.18000000000000002</v>
      </c>
    </row>
    <row r="61" spans="1:8">
      <c r="A61" s="7">
        <f t="shared" si="3"/>
        <v>0</v>
      </c>
      <c r="B61" s="7">
        <f t="shared" si="3"/>
        <v>3</v>
      </c>
      <c r="E61" s="17"/>
      <c r="F61" s="17"/>
      <c r="G61" s="17">
        <f t="shared" si="6"/>
        <v>0.125</v>
      </c>
      <c r="H61" s="17">
        <f t="shared" si="6"/>
        <v>0.1</v>
      </c>
    </row>
    <row r="62" spans="1:8">
      <c r="A62" s="7">
        <f t="shared" si="3"/>
        <v>4</v>
      </c>
      <c r="B62" s="7">
        <f t="shared" si="3"/>
        <v>0</v>
      </c>
      <c r="E62" s="17"/>
      <c r="F62" s="17"/>
      <c r="G62" s="17"/>
      <c r="H62" s="17">
        <f>MULTINOMIAL(H$14-SUM($A62:$B62),$A62,$B62)*Prob_hi^(H$14-SUM($A62:$B62))*Prob_mid^$A62*Prob_low^$B62</f>
        <v>8.0999999999999978E-3</v>
      </c>
    </row>
    <row r="63" spans="1:8">
      <c r="A63" s="7">
        <f t="shared" si="3"/>
        <v>3</v>
      </c>
      <c r="B63" s="7">
        <f t="shared" si="3"/>
        <v>1</v>
      </c>
      <c r="E63" s="17"/>
      <c r="F63" s="17"/>
      <c r="G63" s="17"/>
      <c r="H63" s="17">
        <f>MULTINOMIAL(H$14-SUM($A63:$B63),$A63,$B63)*Prob_hi^(H$14-SUM($A63:$B63))*Prob_mid^$A63*Prob_low^$B63</f>
        <v>5.3999999999999999E-2</v>
      </c>
    </row>
    <row r="64" spans="1:8">
      <c r="A64" s="7">
        <f t="shared" si="3"/>
        <v>2</v>
      </c>
      <c r="B64" s="7">
        <f t="shared" si="3"/>
        <v>2</v>
      </c>
      <c r="E64" s="18"/>
      <c r="F64" s="18"/>
      <c r="G64" s="18"/>
      <c r="H64" s="17">
        <f>MULTINOMIAL(H$14-SUM($A64:$B64),$A64,$B64)*Prob_hi^(H$14-SUM($A64:$B64))*Prob_mid^$A64*Prob_low^$B64</f>
        <v>0.13499999999999995</v>
      </c>
    </row>
    <row r="65" spans="1:9">
      <c r="A65" s="7">
        <f t="shared" si="3"/>
        <v>1</v>
      </c>
      <c r="B65" s="7">
        <f t="shared" si="3"/>
        <v>3</v>
      </c>
      <c r="E65" s="18"/>
      <c r="F65" s="18"/>
      <c r="G65" s="18"/>
      <c r="H65" s="17">
        <f>MULTINOMIAL(H$14-SUM($A65:$B65),$A65,$B65)*Prob_hi^(H$14-SUM($A65:$B65))*Prob_mid^$A65*Prob_low^$B65</f>
        <v>0.15</v>
      </c>
    </row>
    <row r="66" spans="1:9">
      <c r="A66" s="7">
        <f t="shared" si="3"/>
        <v>0</v>
      </c>
      <c r="B66" s="7">
        <f t="shared" si="3"/>
        <v>4</v>
      </c>
      <c r="D66" s="21"/>
      <c r="E66" s="18"/>
      <c r="F66" s="18"/>
      <c r="G66" s="18"/>
      <c r="H66" s="17">
        <f>MULTINOMIAL(H$14-SUM($A66:$B66),$A66,$B66)*Prob_hi^(H$14-SUM($A66:$B66))*Prob_mid^$A66*Prob_low^$B66</f>
        <v>6.2499999999999986E-2</v>
      </c>
    </row>
    <row r="67" spans="1:9" s="27" customFormat="1">
      <c r="C67" s="27" t="s">
        <v>34</v>
      </c>
    </row>
    <row r="68" spans="1:9">
      <c r="C68" s="7" t="s">
        <v>13</v>
      </c>
      <c r="D68" s="17">
        <f>SUM(D52:D67)</f>
        <v>1</v>
      </c>
      <c r="E68" s="17">
        <f>SUM(E52:E67)</f>
        <v>1</v>
      </c>
      <c r="F68" s="17">
        <f>SUM(F52:F67)</f>
        <v>1</v>
      </c>
      <c r="G68" s="17">
        <f>SUM(G52:G67)</f>
        <v>1.0000000000000002</v>
      </c>
      <c r="H68" s="17">
        <f>SUM(H52:H67)</f>
        <v>1</v>
      </c>
    </row>
    <row r="70" spans="1:9">
      <c r="C70" s="3" t="s">
        <v>35</v>
      </c>
      <c r="D70" s="17">
        <f>SUMIF(D$15:D$30,"&lt;="&amp;D15,D$52:D$67)</f>
        <v>1</v>
      </c>
      <c r="E70" s="17">
        <f>SUMIF(E$15:E$30,"&lt;="&amp;E15,E$52:E$67)</f>
        <v>1</v>
      </c>
      <c r="F70" s="17">
        <f>SUMIF(F$15:F$30,"&lt;="&amp;F15,F$52:F$67)</f>
        <v>1</v>
      </c>
      <c r="G70" s="17">
        <f>SUMIF(G$15:G$30,"&lt;="&amp;G15,G$52:G$67)</f>
        <v>1.0000000000000002</v>
      </c>
      <c r="H70" s="17">
        <f>SUMIF(H$15:H$30,"&lt;="&amp;H15,H$52:H$67)</f>
        <v>1</v>
      </c>
    </row>
    <row r="71" spans="1:9">
      <c r="E71" s="17">
        <f t="shared" ref="E71:H72" si="7">SUMIF(E$15:E$30,"&lt;="&amp;E16,E$52:E$67)</f>
        <v>0.8</v>
      </c>
      <c r="F71" s="17">
        <f t="shared" si="7"/>
        <v>0.96</v>
      </c>
      <c r="G71" s="17">
        <f t="shared" si="7"/>
        <v>0.99200000000000021</v>
      </c>
      <c r="H71" s="17">
        <f t="shared" si="7"/>
        <v>0.99840000000000007</v>
      </c>
    </row>
    <row r="72" spans="1:9">
      <c r="E72" s="17">
        <f t="shared" si="7"/>
        <v>0.5</v>
      </c>
      <c r="F72" s="17">
        <f t="shared" si="7"/>
        <v>0.84000000000000008</v>
      </c>
      <c r="G72" s="17">
        <f t="shared" si="7"/>
        <v>0.95600000000000018</v>
      </c>
      <c r="H72" s="17">
        <f t="shared" si="7"/>
        <v>0.98880000000000001</v>
      </c>
    </row>
    <row r="73" spans="1:9">
      <c r="F73" s="17">
        <f t="shared" ref="F73:H75" si="8">SUMIF(F$15:F$30,"&lt;="&amp;F18,F$52:F$67)</f>
        <v>0.84000000000000008</v>
      </c>
      <c r="G73" s="17">
        <f t="shared" si="8"/>
        <v>0.95600000000000018</v>
      </c>
      <c r="H73" s="17">
        <f t="shared" si="8"/>
        <v>0.98880000000000001</v>
      </c>
    </row>
    <row r="74" spans="1:9">
      <c r="F74" s="17">
        <f t="shared" si="8"/>
        <v>0.55000000000000004</v>
      </c>
      <c r="G74" s="17">
        <f t="shared" si="8"/>
        <v>0.84200000000000008</v>
      </c>
      <c r="H74" s="17">
        <f t="shared" si="8"/>
        <v>0.95120000000000016</v>
      </c>
    </row>
    <row r="75" spans="1:9">
      <c r="F75" s="17">
        <f t="shared" si="8"/>
        <v>0.25</v>
      </c>
      <c r="G75" s="17">
        <f t="shared" si="8"/>
        <v>0.63500000000000001</v>
      </c>
      <c r="H75" s="17">
        <f t="shared" si="8"/>
        <v>0.85760000000000003</v>
      </c>
    </row>
    <row r="76" spans="1:9">
      <c r="F76" s="17"/>
      <c r="G76" s="17">
        <f t="shared" ref="G76:H79" si="9">SUMIF(G$15:G$30,"&lt;="&amp;G21,G$52:G$67)</f>
        <v>0.84200000000000008</v>
      </c>
      <c r="H76" s="17">
        <f t="shared" si="9"/>
        <v>0.95120000000000016</v>
      </c>
    </row>
    <row r="77" spans="1:9">
      <c r="G77" s="17">
        <f t="shared" si="9"/>
        <v>0.63500000000000001</v>
      </c>
      <c r="H77" s="17">
        <f t="shared" si="9"/>
        <v>0.85760000000000003</v>
      </c>
    </row>
    <row r="78" spans="1:9">
      <c r="G78" s="17">
        <f t="shared" si="9"/>
        <v>0.35000000000000003</v>
      </c>
      <c r="H78" s="17">
        <f t="shared" si="9"/>
        <v>0.68149999999999999</v>
      </c>
      <c r="I78" s="22"/>
    </row>
    <row r="79" spans="1:9">
      <c r="G79" s="17">
        <f t="shared" si="9"/>
        <v>0.125</v>
      </c>
      <c r="H79" s="17">
        <f t="shared" si="9"/>
        <v>0.44749999999999995</v>
      </c>
      <c r="I79" s="22"/>
    </row>
    <row r="80" spans="1:9">
      <c r="H80" s="17">
        <f>SUMIF(H$15:H$30,"&lt;="&amp;H25,H$52:H$67)</f>
        <v>0.85760000000000003</v>
      </c>
      <c r="I80" s="22"/>
    </row>
    <row r="81" spans="3:9">
      <c r="H81" s="17">
        <f>SUMIF(H$15:H$30,"&lt;="&amp;H26,H$52:H$67)</f>
        <v>0.68149999999999999</v>
      </c>
      <c r="I81" s="22"/>
    </row>
    <row r="82" spans="3:9">
      <c r="H82" s="17">
        <f>SUMIF(H$15:H$30,"&lt;="&amp;H27,H$52:H$67)</f>
        <v>0.44749999999999995</v>
      </c>
      <c r="I82" s="22"/>
    </row>
    <row r="83" spans="3:9">
      <c r="H83" s="17">
        <f>SUMIF(H$15:H$30,"&lt;="&amp;H28,H$52:H$67)</f>
        <v>0.21249999999999997</v>
      </c>
      <c r="I83" s="22"/>
    </row>
    <row r="84" spans="3:9">
      <c r="H84" s="17">
        <f>SUMIF(H$15:H$30,"&lt;="&amp;H29,H$52:H$67)</f>
        <v>6.2499999999999986E-2</v>
      </c>
      <c r="I84" s="22"/>
    </row>
    <row r="85" spans="3:9" s="27" customFormat="1">
      <c r="C85" s="27" t="s">
        <v>34</v>
      </c>
    </row>
    <row r="86" spans="3:9">
      <c r="I86" s="22"/>
    </row>
    <row r="87" spans="3:9">
      <c r="C87" s="3" t="s">
        <v>37</v>
      </c>
      <c r="D87" s="17">
        <f>SUMIF(D$15:D$30,"&lt;"&amp;D15,D$52:D$67)</f>
        <v>0</v>
      </c>
      <c r="E87" s="17">
        <f>SUMIF(E$15:E$30,"&lt;"&amp;E15,E$52:E$67)</f>
        <v>0.8</v>
      </c>
      <c r="F87" s="17">
        <f>SUMIF(F$15:F$30,"&lt;"&amp;F15,F$52:F$67)</f>
        <v>0.96</v>
      </c>
      <c r="G87" s="17">
        <f>SUMIF(G$15:G$30,"&lt;"&amp;G15,G$52:G$67)</f>
        <v>0.99200000000000021</v>
      </c>
      <c r="H87" s="17">
        <f>SUMIF(H$15:H$30,"&lt;"&amp;H15,H$52:H$67)</f>
        <v>0.99840000000000007</v>
      </c>
      <c r="I87" s="22"/>
    </row>
    <row r="88" spans="3:9">
      <c r="E88" s="17">
        <f t="shared" ref="E88:H89" si="10">SUMIF(E$15:E$30,"&lt;"&amp;E16,E$52:E$67)</f>
        <v>0.5</v>
      </c>
      <c r="F88" s="17">
        <f t="shared" si="10"/>
        <v>0.84000000000000008</v>
      </c>
      <c r="G88" s="17">
        <f t="shared" si="10"/>
        <v>0.95600000000000018</v>
      </c>
      <c r="H88" s="17">
        <f t="shared" si="10"/>
        <v>0.98880000000000001</v>
      </c>
      <c r="I88" s="22"/>
    </row>
    <row r="89" spans="3:9">
      <c r="E89" s="17">
        <f t="shared" si="10"/>
        <v>0</v>
      </c>
      <c r="F89" s="17">
        <f t="shared" si="10"/>
        <v>0.55000000000000004</v>
      </c>
      <c r="G89" s="17">
        <f t="shared" si="10"/>
        <v>0.84200000000000008</v>
      </c>
      <c r="H89" s="17">
        <f t="shared" si="10"/>
        <v>0.95120000000000016</v>
      </c>
    </row>
    <row r="90" spans="3:9">
      <c r="F90" s="17">
        <f t="shared" ref="F90:H92" si="11">SUMIF(F$15:F$30,"&lt;"&amp;F18,F$52:F$67)</f>
        <v>0.55000000000000004</v>
      </c>
      <c r="G90" s="17">
        <f t="shared" si="11"/>
        <v>0.84200000000000008</v>
      </c>
      <c r="H90" s="17">
        <f t="shared" si="11"/>
        <v>0.95120000000000016</v>
      </c>
    </row>
    <row r="91" spans="3:9">
      <c r="F91" s="17">
        <f t="shared" si="11"/>
        <v>0.25</v>
      </c>
      <c r="G91" s="17">
        <f t="shared" si="11"/>
        <v>0.63500000000000001</v>
      </c>
      <c r="H91" s="17">
        <f t="shared" si="11"/>
        <v>0.85760000000000003</v>
      </c>
    </row>
    <row r="92" spans="3:9">
      <c r="F92" s="17">
        <f t="shared" si="11"/>
        <v>0</v>
      </c>
      <c r="G92" s="17">
        <f t="shared" si="11"/>
        <v>0.35000000000000003</v>
      </c>
      <c r="H92" s="17">
        <f t="shared" si="11"/>
        <v>0.68149999999999999</v>
      </c>
    </row>
    <row r="93" spans="3:9">
      <c r="F93" s="17"/>
      <c r="G93" s="17">
        <f t="shared" ref="G93:H96" si="12">SUMIF(G$15:G$30,"&lt;"&amp;G21,G$52:G$67)</f>
        <v>0.63500000000000001</v>
      </c>
      <c r="H93" s="17">
        <f t="shared" si="12"/>
        <v>0.85760000000000003</v>
      </c>
    </row>
    <row r="94" spans="3:9">
      <c r="G94" s="17">
        <f t="shared" si="12"/>
        <v>0.35000000000000003</v>
      </c>
      <c r="H94" s="17">
        <f t="shared" si="12"/>
        <v>0.68149999999999999</v>
      </c>
    </row>
    <row r="95" spans="3:9">
      <c r="G95" s="17">
        <f t="shared" si="12"/>
        <v>0.125</v>
      </c>
      <c r="H95" s="17">
        <f t="shared" si="12"/>
        <v>0.44749999999999995</v>
      </c>
    </row>
    <row r="96" spans="3:9">
      <c r="G96" s="17">
        <f t="shared" si="12"/>
        <v>0</v>
      </c>
      <c r="H96" s="17">
        <f t="shared" si="12"/>
        <v>0.21249999999999997</v>
      </c>
    </row>
    <row r="97" spans="3:8">
      <c r="H97" s="17">
        <f>SUMIF(H$15:H$30,"&lt;"&amp;H25,H$52:H$67)</f>
        <v>0.68149999999999999</v>
      </c>
    </row>
    <row r="98" spans="3:8">
      <c r="H98" s="17">
        <f>SUMIF(H$15:H$30,"&lt;"&amp;H26,H$52:H$67)</f>
        <v>0.44749999999999995</v>
      </c>
    </row>
    <row r="99" spans="3:8">
      <c r="H99" s="17">
        <f>SUMIF(H$15:H$30,"&lt;"&amp;H27,H$52:H$67)</f>
        <v>0.21249999999999997</v>
      </c>
    </row>
    <row r="100" spans="3:8">
      <c r="H100" s="17">
        <f>SUMIF(H$15:H$30,"&lt;"&amp;H28,H$52:H$67)</f>
        <v>6.2499999999999986E-2</v>
      </c>
    </row>
    <row r="101" spans="3:8">
      <c r="H101" s="17">
        <f>SUMIF(H$15:H$30,"&lt;"&amp;H29,H$52:H$67)</f>
        <v>0</v>
      </c>
    </row>
    <row r="102" spans="3:8">
      <c r="C102" s="27" t="s">
        <v>34</v>
      </c>
      <c r="D102" s="27"/>
      <c r="E102" s="27"/>
      <c r="F102" s="27"/>
      <c r="G102" s="27"/>
      <c r="H102" s="27"/>
    </row>
    <row r="104" spans="3:8">
      <c r="C104" s="3" t="s">
        <v>38</v>
      </c>
      <c r="D104" s="17">
        <f>D70-D87</f>
        <v>1</v>
      </c>
      <c r="E104" s="17">
        <f t="shared" ref="E104:H118" si="13">E70-E87</f>
        <v>0.19999999999999996</v>
      </c>
      <c r="F104" s="17">
        <f t="shared" si="13"/>
        <v>4.0000000000000036E-2</v>
      </c>
      <c r="G104" s="17">
        <f t="shared" si="13"/>
        <v>8.0000000000000071E-3</v>
      </c>
      <c r="H104" s="17">
        <f t="shared" si="13"/>
        <v>1.5999999999999348E-3</v>
      </c>
    </row>
    <row r="105" spans="3:8">
      <c r="E105" s="17">
        <f t="shared" si="13"/>
        <v>0.30000000000000004</v>
      </c>
      <c r="F105" s="17">
        <f t="shared" si="13"/>
        <v>0.11999999999999988</v>
      </c>
      <c r="G105" s="17">
        <f t="shared" si="13"/>
        <v>3.6000000000000032E-2</v>
      </c>
      <c r="H105" s="17">
        <f t="shared" si="13"/>
        <v>9.6000000000000529E-3</v>
      </c>
    </row>
    <row r="106" spans="3:8">
      <c r="E106" s="17">
        <f t="shared" si="13"/>
        <v>0.5</v>
      </c>
      <c r="F106" s="17">
        <f t="shared" si="13"/>
        <v>0.29000000000000004</v>
      </c>
      <c r="G106" s="17">
        <f t="shared" si="13"/>
        <v>0.1140000000000001</v>
      </c>
      <c r="H106" s="17">
        <f t="shared" si="13"/>
        <v>3.7599999999999856E-2</v>
      </c>
    </row>
    <row r="107" spans="3:8">
      <c r="F107" s="17">
        <f t="shared" si="13"/>
        <v>0.29000000000000004</v>
      </c>
      <c r="G107" s="17">
        <f t="shared" si="13"/>
        <v>0.1140000000000001</v>
      </c>
      <c r="H107" s="17">
        <f t="shared" si="13"/>
        <v>3.7599999999999856E-2</v>
      </c>
    </row>
    <row r="108" spans="3:8">
      <c r="F108" s="17">
        <f t="shared" si="13"/>
        <v>0.30000000000000004</v>
      </c>
      <c r="G108" s="17">
        <f t="shared" si="13"/>
        <v>0.20700000000000007</v>
      </c>
      <c r="H108" s="17">
        <f t="shared" si="13"/>
        <v>9.3600000000000128E-2</v>
      </c>
    </row>
    <row r="109" spans="3:8">
      <c r="F109" s="17">
        <f t="shared" si="13"/>
        <v>0.25</v>
      </c>
      <c r="G109" s="17">
        <f t="shared" si="13"/>
        <v>0.28499999999999998</v>
      </c>
      <c r="H109" s="17">
        <f t="shared" si="13"/>
        <v>0.17610000000000003</v>
      </c>
    </row>
    <row r="110" spans="3:8">
      <c r="F110" s="17"/>
      <c r="G110" s="17">
        <f t="shared" si="13"/>
        <v>0.20700000000000007</v>
      </c>
      <c r="H110" s="17">
        <f t="shared" si="13"/>
        <v>9.3600000000000128E-2</v>
      </c>
    </row>
    <row r="111" spans="3:8">
      <c r="G111" s="17">
        <f t="shared" si="13"/>
        <v>0.28499999999999998</v>
      </c>
      <c r="H111" s="17">
        <f t="shared" si="13"/>
        <v>0.17610000000000003</v>
      </c>
    </row>
    <row r="112" spans="3:8">
      <c r="G112" s="17">
        <f t="shared" si="13"/>
        <v>0.22500000000000003</v>
      </c>
      <c r="H112" s="17">
        <f t="shared" si="13"/>
        <v>0.23400000000000004</v>
      </c>
    </row>
    <row r="113" spans="3:8">
      <c r="G113" s="17">
        <f t="shared" si="13"/>
        <v>0.125</v>
      </c>
      <c r="H113" s="17">
        <f t="shared" si="13"/>
        <v>0.23499999999999999</v>
      </c>
    </row>
    <row r="114" spans="3:8">
      <c r="H114" s="17">
        <f t="shared" si="13"/>
        <v>0.17610000000000003</v>
      </c>
    </row>
    <row r="115" spans="3:8">
      <c r="H115" s="17">
        <f t="shared" si="13"/>
        <v>0.23400000000000004</v>
      </c>
    </row>
    <row r="116" spans="3:8">
      <c r="H116" s="17">
        <f t="shared" si="13"/>
        <v>0.23499999999999999</v>
      </c>
    </row>
    <row r="117" spans="3:8">
      <c r="H117" s="17">
        <f t="shared" si="13"/>
        <v>0.14999999999999997</v>
      </c>
    </row>
    <row r="118" spans="3:8">
      <c r="H118" s="17">
        <f t="shared" si="13"/>
        <v>6.2499999999999986E-2</v>
      </c>
    </row>
    <row r="119" spans="3:8">
      <c r="C119" s="27" t="s">
        <v>34</v>
      </c>
      <c r="D119" s="27"/>
      <c r="E119" s="27"/>
      <c r="F119" s="27"/>
      <c r="G119" s="27"/>
      <c r="H119" s="27"/>
    </row>
  </sheetData>
  <conditionalFormatting sqref="L8">
    <cfRule type="cellIs" dxfId="14" priority="5" operator="lessThan">
      <formula>0</formula>
    </cfRule>
  </conditionalFormatting>
  <conditionalFormatting sqref="L10">
    <cfRule type="cellIs" dxfId="13" priority="3" operator="notBetween">
      <formula>$L$9</formula>
      <formula>$L$11</formula>
    </cfRule>
  </conditionalFormatting>
  <conditionalFormatting sqref="D35:H120 D14:H31">
    <cfRule type="expression" dxfId="12" priority="7">
      <formula>D$14&gt;$D$8</formula>
    </cfRule>
  </conditionalFormatting>
  <conditionalFormatting sqref="M10">
    <cfRule type="cellIs" dxfId="11" priority="1" operator="notBetween">
      <formula>$L$9</formula>
      <formula>$L$11</formula>
    </cfRule>
  </conditionalFormatting>
  <pageMargins left="0.75" right="0.75" top="1" bottom="1" header="0.5" footer="0.5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Q119"/>
  <sheetViews>
    <sheetView workbookViewId="0">
      <pane ySplit="14" topLeftCell="A15" activePane="bottomLeft" state="frozenSplit"/>
      <selection pane="bottomLeft" activeCell="E15" sqref="E15"/>
    </sheetView>
  </sheetViews>
  <sheetFormatPr baseColWidth="10" defaultColWidth="8.83203125" defaultRowHeight="15" x14ac:dyDescent="0"/>
  <cols>
    <col min="1" max="2" width="8.83203125" style="7"/>
    <col min="3" max="3" width="17.33203125" style="7" customWidth="1"/>
    <col min="4" max="4" width="9.5" style="7" bestFit="1" customWidth="1"/>
    <col min="5" max="6" width="9.83203125" style="7" bestFit="1" customWidth="1"/>
    <col min="7" max="7" width="10.33203125" style="7" customWidth="1"/>
    <col min="8" max="8" width="10.1640625" style="7" customWidth="1"/>
    <col min="9" max="9" width="10.5" style="7" bestFit="1" customWidth="1"/>
    <col min="10" max="10" width="11" style="7" bestFit="1" customWidth="1"/>
    <col min="11" max="16384" width="8.83203125" style="7"/>
  </cols>
  <sheetData>
    <row r="1" spans="1:17" s="24" customFormat="1" ht="20" thickBot="1">
      <c r="C1" s="24" t="s">
        <v>55</v>
      </c>
    </row>
    <row r="2" spans="1:17" ht="16" thickTop="1">
      <c r="C2" s="23" t="s">
        <v>22</v>
      </c>
    </row>
    <row r="3" spans="1:17" s="25" customFormat="1">
      <c r="C3" s="25" t="s">
        <v>43</v>
      </c>
    </row>
    <row r="4" spans="1:17" s="25" customFormat="1">
      <c r="C4" s="25" t="s">
        <v>44</v>
      </c>
    </row>
    <row r="5" spans="1:17">
      <c r="I5" s="33" t="s">
        <v>61</v>
      </c>
      <c r="J5" s="33" t="s">
        <v>62</v>
      </c>
    </row>
    <row r="6" spans="1:17">
      <c r="C6" s="28" t="s">
        <v>59</v>
      </c>
      <c r="D6" s="34">
        <f>c_wind</f>
        <v>2100</v>
      </c>
      <c r="E6" s="33" t="s">
        <v>53</v>
      </c>
      <c r="F6" s="32" t="s">
        <v>50</v>
      </c>
      <c r="G6" s="31">
        <v>0.26200000000000001</v>
      </c>
      <c r="H6" s="7" t="s">
        <v>71</v>
      </c>
      <c r="I6" s="1">
        <f>c_coal</f>
        <v>3167</v>
      </c>
      <c r="J6" s="1">
        <f>c_nuke</f>
        <v>5335</v>
      </c>
      <c r="K6" s="10" t="s">
        <v>28</v>
      </c>
      <c r="L6" s="29">
        <v>0.33333333333333331</v>
      </c>
      <c r="M6" s="7" t="s">
        <v>39</v>
      </c>
    </row>
    <row r="7" spans="1:17">
      <c r="C7" s="28" t="s">
        <v>56</v>
      </c>
      <c r="D7" s="1">
        <f>E7*$D$6</f>
        <v>1260</v>
      </c>
      <c r="E7" s="2">
        <v>0.6</v>
      </c>
      <c r="F7" s="7" t="s">
        <v>79</v>
      </c>
      <c r="G7" s="17">
        <f>1/G6</f>
        <v>3.8167938931297707</v>
      </c>
      <c r="H7" s="7" t="s">
        <v>72</v>
      </c>
      <c r="I7" s="17">
        <f>$D7/I$6</f>
        <v>0.39785285759393746</v>
      </c>
      <c r="J7" s="17">
        <f>$D7/J$6</f>
        <v>0.23617619493908154</v>
      </c>
      <c r="K7" s="10" t="s">
        <v>29</v>
      </c>
      <c r="L7" s="29">
        <f>1/3</f>
        <v>0.33333333333333331</v>
      </c>
      <c r="M7" s="7" t="s">
        <v>40</v>
      </c>
    </row>
    <row r="8" spans="1:17">
      <c r="C8" s="9" t="s">
        <v>21</v>
      </c>
      <c r="D8" s="4">
        <v>3</v>
      </c>
      <c r="F8" s="32" t="s">
        <v>51</v>
      </c>
      <c r="G8" s="18">
        <f>v_start/G6</f>
        <v>4809.160305343511</v>
      </c>
      <c r="H8" s="7" t="s">
        <v>80</v>
      </c>
      <c r="I8" s="17">
        <f>$G8/I$6</f>
        <v>1.5185223572287689</v>
      </c>
      <c r="J8" s="17">
        <f>$G8/J$6</f>
        <v>0.90143585854611263</v>
      </c>
      <c r="K8" s="10" t="s">
        <v>30</v>
      </c>
      <c r="L8" s="30">
        <f>1-SUM(L6:L7)</f>
        <v>0.33333333333333337</v>
      </c>
    </row>
    <row r="9" spans="1:17">
      <c r="C9" s="9" t="s">
        <v>57</v>
      </c>
      <c r="D9" s="1">
        <f>E9*$D$6</f>
        <v>1890</v>
      </c>
      <c r="E9" s="2">
        <v>0.9</v>
      </c>
      <c r="F9" s="32" t="s">
        <v>48</v>
      </c>
      <c r="G9" s="31">
        <v>0.05</v>
      </c>
      <c r="H9" s="7" t="s">
        <v>76</v>
      </c>
      <c r="I9" s="17">
        <f>$D9/I$6*$G$7</f>
        <v>2.2777835358431537</v>
      </c>
      <c r="J9" s="17">
        <f>$D9/J$6*$G$7</f>
        <v>1.352153787819169</v>
      </c>
      <c r="K9" s="7" t="s">
        <v>31</v>
      </c>
      <c r="L9" s="40">
        <v>1.145</v>
      </c>
      <c r="M9" s="5">
        <f>POWER(v_max/v_start, 1/n_periods)</f>
        <v>1.1447142425533319</v>
      </c>
      <c r="N9" s="7" t="s">
        <v>36</v>
      </c>
    </row>
    <row r="10" spans="1:17">
      <c r="C10" s="12" t="s">
        <v>58</v>
      </c>
      <c r="D10" s="1">
        <f>E10*$D$6</f>
        <v>1050</v>
      </c>
      <c r="E10" s="2">
        <v>0.5</v>
      </c>
      <c r="F10" s="32" t="s">
        <v>49</v>
      </c>
      <c r="G10" s="7">
        <v>610</v>
      </c>
      <c r="H10" s="7" t="s">
        <v>77</v>
      </c>
      <c r="I10" s="17">
        <f>$D10/I$6*$G$7</f>
        <v>1.2654352976906407</v>
      </c>
      <c r="J10" s="17">
        <f>$D10/J$6*$G$7</f>
        <v>0.75119654878842723</v>
      </c>
      <c r="K10" s="7" t="s">
        <v>32</v>
      </c>
      <c r="L10" s="40">
        <v>1.038</v>
      </c>
      <c r="M10" s="26">
        <f>SQRT(low/hi)*hi</f>
        <v>1.0380004816954567</v>
      </c>
      <c r="N10" s="7" t="s">
        <v>47</v>
      </c>
    </row>
    <row r="11" spans="1:17">
      <c r="C11" s="28" t="s">
        <v>60</v>
      </c>
      <c r="D11" s="2">
        <f>c_wind</f>
        <v>2100</v>
      </c>
      <c r="F11" s="32" t="s">
        <v>52</v>
      </c>
      <c r="G11" s="18">
        <f>(G6-G9)/G6*G10+G8</f>
        <v>5302.7480916030527</v>
      </c>
      <c r="H11" s="7" t="s">
        <v>75</v>
      </c>
      <c r="I11" s="17">
        <f>$G11/I$6</f>
        <v>1.674375778845296</v>
      </c>
      <c r="J11" s="17">
        <f>$G11/J$6</f>
        <v>0.99395465634546443</v>
      </c>
      <c r="K11" s="7" t="s">
        <v>33</v>
      </c>
      <c r="L11" s="40">
        <v>0.94099999999999995</v>
      </c>
      <c r="M11" s="5">
        <f>POWER(v_min/v_start, 1/n_periods)</f>
        <v>0.94103602888102855</v>
      </c>
    </row>
    <row r="12" spans="1:17">
      <c r="C12" s="28" t="s">
        <v>81</v>
      </c>
      <c r="D12" s="39">
        <f ca="1">AVERAGEIF(OFFSET(D104,0,n_periods,ROWS(D15:D30)),MAX(OFFSET(D104,0,n_periods,ROWS(D15:D30))),OFFSET(D15,0,n_periods,ROWS(D15:D30)))</f>
        <v>1410</v>
      </c>
      <c r="F12" s="28" t="s">
        <v>83</v>
      </c>
      <c r="G12" s="18">
        <f ca="1">D12*G7</f>
        <v>5381.679389312977</v>
      </c>
      <c r="H12" s="7" t="s">
        <v>82</v>
      </c>
      <c r="I12" s="17">
        <f ca="1">$D12/I$6*$G$7</f>
        <v>1.6992988283274317</v>
      </c>
      <c r="J12" s="17">
        <f ca="1">$D12/J$6*$G$7</f>
        <v>1.0087496512301737</v>
      </c>
      <c r="K12" s="7" t="s">
        <v>89</v>
      </c>
      <c r="L12" s="2">
        <v>-1</v>
      </c>
      <c r="M12" s="7" t="s">
        <v>87</v>
      </c>
      <c r="N12" s="7">
        <f>10^(-round_to)</f>
        <v>10</v>
      </c>
      <c r="O12" s="7" t="s">
        <v>88</v>
      </c>
      <c r="P12" s="38">
        <f>N12/D6</f>
        <v>4.7619047619047623E-3</v>
      </c>
      <c r="Q12" s="7" t="s">
        <v>90</v>
      </c>
    </row>
    <row r="13" spans="1:17">
      <c r="D13" s="7">
        <v>2010</v>
      </c>
      <c r="E13" s="7">
        <v>2020</v>
      </c>
      <c r="F13" s="7">
        <v>2030</v>
      </c>
      <c r="G13" s="7">
        <v>2040</v>
      </c>
    </row>
    <row r="14" spans="1:17">
      <c r="A14" s="7" t="s">
        <v>26</v>
      </c>
      <c r="B14" s="7" t="s">
        <v>27</v>
      </c>
      <c r="D14" s="16">
        <v>0</v>
      </c>
      <c r="E14" s="16">
        <v>1</v>
      </c>
      <c r="F14" s="16">
        <v>2</v>
      </c>
      <c r="G14" s="16">
        <v>3</v>
      </c>
      <c r="H14" s="16">
        <v>4</v>
      </c>
    </row>
    <row r="15" spans="1:17">
      <c r="A15" s="7">
        <v>0</v>
      </c>
      <c r="B15" s="7">
        <v>0</v>
      </c>
      <c r="C15" s="3" t="s">
        <v>25</v>
      </c>
      <c r="D15" s="17">
        <f>ROUND(v_start, wind_round)</f>
        <v>1260</v>
      </c>
      <c r="E15" s="17">
        <f t="shared" ref="E15:H17" si="0">ROUND(v_start*hi^(E$14-SUM($A15:$B15))*mid^$A15*low^$B15, wind_round)</f>
        <v>1440</v>
      </c>
      <c r="F15" s="17">
        <f t="shared" si="0"/>
        <v>1650</v>
      </c>
      <c r="G15" s="17">
        <f t="shared" si="0"/>
        <v>1890</v>
      </c>
      <c r="H15" s="17">
        <f t="shared" si="0"/>
        <v>2170</v>
      </c>
    </row>
    <row r="16" spans="1:17">
      <c r="A16" s="7">
        <v>1</v>
      </c>
      <c r="B16" s="7">
        <v>0</v>
      </c>
      <c r="C16" s="3"/>
      <c r="D16" s="17"/>
      <c r="E16" s="17">
        <f t="shared" si="0"/>
        <v>1310</v>
      </c>
      <c r="F16" s="17">
        <f t="shared" si="0"/>
        <v>1500</v>
      </c>
      <c r="G16" s="17">
        <f t="shared" si="0"/>
        <v>1710</v>
      </c>
      <c r="H16" s="17">
        <f t="shared" si="0"/>
        <v>1960</v>
      </c>
    </row>
    <row r="17" spans="1:8">
      <c r="A17" s="7">
        <v>0</v>
      </c>
      <c r="B17" s="7">
        <v>1</v>
      </c>
      <c r="D17" s="17"/>
      <c r="E17" s="17">
        <f t="shared" si="0"/>
        <v>1190</v>
      </c>
      <c r="F17" s="17">
        <f t="shared" si="0"/>
        <v>1360</v>
      </c>
      <c r="G17" s="17">
        <f t="shared" si="0"/>
        <v>1550</v>
      </c>
      <c r="H17" s="17">
        <f t="shared" si="0"/>
        <v>1780</v>
      </c>
    </row>
    <row r="18" spans="1:8">
      <c r="A18" s="7">
        <v>2</v>
      </c>
      <c r="B18" s="7">
        <v>0</v>
      </c>
      <c r="D18" s="17"/>
      <c r="E18" s="17"/>
      <c r="F18" s="17">
        <f t="shared" ref="F18:H20" si="1">ROUND(v_start*hi^(F$14-SUM($A18:$B18))*mid^$A18*low^$B18, wind_round)</f>
        <v>1360</v>
      </c>
      <c r="G18" s="17">
        <f t="shared" si="1"/>
        <v>1550</v>
      </c>
      <c r="H18" s="17">
        <f t="shared" si="1"/>
        <v>1780</v>
      </c>
    </row>
    <row r="19" spans="1:8">
      <c r="A19" s="7">
        <v>1</v>
      </c>
      <c r="B19" s="7">
        <v>1</v>
      </c>
      <c r="D19" s="17"/>
      <c r="E19" s="17"/>
      <c r="F19" s="17">
        <f t="shared" si="1"/>
        <v>1230</v>
      </c>
      <c r="G19" s="17">
        <f t="shared" si="1"/>
        <v>1410</v>
      </c>
      <c r="H19" s="17">
        <f t="shared" si="1"/>
        <v>1610</v>
      </c>
    </row>
    <row r="20" spans="1:8">
      <c r="A20" s="7">
        <v>0</v>
      </c>
      <c r="B20" s="7">
        <v>2</v>
      </c>
      <c r="D20" s="17"/>
      <c r="E20" s="17"/>
      <c r="F20" s="17">
        <f t="shared" si="1"/>
        <v>1120</v>
      </c>
      <c r="G20" s="17">
        <f t="shared" si="1"/>
        <v>1280</v>
      </c>
      <c r="H20" s="17">
        <f t="shared" si="1"/>
        <v>1460</v>
      </c>
    </row>
    <row r="21" spans="1:8">
      <c r="A21" s="7">
        <v>3</v>
      </c>
      <c r="B21" s="7">
        <v>0</v>
      </c>
      <c r="D21" s="17"/>
      <c r="E21" s="17"/>
      <c r="F21" s="17"/>
      <c r="G21" s="17">
        <f t="shared" ref="G21:H24" si="2">ROUND(v_start*hi^(G$14-SUM($A21:$B21))*mid^$A21*low^$B21, wind_round)</f>
        <v>1410</v>
      </c>
      <c r="H21" s="17">
        <f t="shared" si="2"/>
        <v>1610</v>
      </c>
    </row>
    <row r="22" spans="1:8">
      <c r="A22" s="7">
        <v>2</v>
      </c>
      <c r="B22" s="7">
        <v>1</v>
      </c>
      <c r="D22" s="17"/>
      <c r="E22" s="17"/>
      <c r="F22" s="17"/>
      <c r="G22" s="17">
        <f t="shared" si="2"/>
        <v>1280</v>
      </c>
      <c r="H22" s="17">
        <f t="shared" si="2"/>
        <v>1460</v>
      </c>
    </row>
    <row r="23" spans="1:8">
      <c r="A23" s="7">
        <v>1</v>
      </c>
      <c r="B23" s="7">
        <v>2</v>
      </c>
      <c r="D23" s="17"/>
      <c r="E23" s="17"/>
      <c r="F23" s="17"/>
      <c r="G23" s="17">
        <f t="shared" si="2"/>
        <v>1160</v>
      </c>
      <c r="H23" s="17">
        <f t="shared" si="2"/>
        <v>1330</v>
      </c>
    </row>
    <row r="24" spans="1:8">
      <c r="A24" s="7">
        <v>0</v>
      </c>
      <c r="B24" s="7">
        <v>3</v>
      </c>
      <c r="D24" s="17"/>
      <c r="E24" s="17"/>
      <c r="F24" s="17"/>
      <c r="G24" s="17">
        <f t="shared" si="2"/>
        <v>1050</v>
      </c>
      <c r="H24" s="17">
        <f t="shared" si="2"/>
        <v>1200</v>
      </c>
    </row>
    <row r="25" spans="1:8">
      <c r="A25" s="7">
        <v>4</v>
      </c>
      <c r="B25" s="7">
        <v>0</v>
      </c>
      <c r="D25" s="17"/>
      <c r="E25" s="17"/>
      <c r="F25" s="17"/>
      <c r="G25" s="17"/>
      <c r="H25" s="17">
        <f>ROUND(v_start*hi^(H$14-SUM($A25:$B25))*mid^$A25*low^$B25, wind_round)</f>
        <v>1460</v>
      </c>
    </row>
    <row r="26" spans="1:8">
      <c r="A26" s="7">
        <v>3</v>
      </c>
      <c r="B26" s="7">
        <v>1</v>
      </c>
      <c r="D26" s="17"/>
      <c r="E26" s="17"/>
      <c r="F26" s="17"/>
      <c r="G26" s="17"/>
      <c r="H26" s="17">
        <f>ROUND(v_start*hi^(H$14-SUM($A26:$B26))*mid^$A26*low^$B26, wind_round)</f>
        <v>1330</v>
      </c>
    </row>
    <row r="27" spans="1:8" s="18" customFormat="1">
      <c r="A27" s="18">
        <v>2</v>
      </c>
      <c r="B27" s="7">
        <v>2</v>
      </c>
      <c r="H27" s="17">
        <f>ROUND(v_start*hi^(H$14-SUM($A27:$B27))*mid^$A27*low^$B27, wind_round)</f>
        <v>1200</v>
      </c>
    </row>
    <row r="28" spans="1:8" s="18" customFormat="1">
      <c r="A28" s="18">
        <v>1</v>
      </c>
      <c r="B28" s="18">
        <v>3</v>
      </c>
      <c r="H28" s="17">
        <f>ROUND(v_start*hi^(H$14-SUM($A28:$B28))*mid^$A28*low^$B28, wind_round)</f>
        <v>1090</v>
      </c>
    </row>
    <row r="29" spans="1:8" s="18" customFormat="1">
      <c r="A29" s="18">
        <v>0</v>
      </c>
      <c r="B29" s="18">
        <v>4</v>
      </c>
      <c r="H29" s="17">
        <f>ROUND(v_start*hi^(H$14-SUM($A29:$B29))*mid^$A29*low^$B29, wind_round)</f>
        <v>990</v>
      </c>
    </row>
    <row r="30" spans="1:8" s="27" customFormat="1">
      <c r="C30" s="27" t="s">
        <v>34</v>
      </c>
    </row>
    <row r="32" spans="1:8">
      <c r="C32" s="7" t="s">
        <v>84</v>
      </c>
      <c r="D32" s="18">
        <f>SUMPRODUCT(D15:D30,D52:D67)</f>
        <v>1260</v>
      </c>
      <c r="E32" s="18">
        <f>SUMPRODUCT(E15:E30,E52:E67)</f>
        <v>1313.3333333333333</v>
      </c>
      <c r="F32" s="18">
        <f>SUMPRODUCT(F15:F30,F52:F67)</f>
        <v>1367.7777777777781</v>
      </c>
      <c r="G32" s="18">
        <f>SUMPRODUCT(G15:G30,G52:G67)</f>
        <v>1422.2222222222222</v>
      </c>
      <c r="H32" s="18">
        <f>SUMPRODUCT(H15:H30,H52:H67)</f>
        <v>1480.7407407407409</v>
      </c>
    </row>
    <row r="33" spans="1:8">
      <c r="C33" s="7" t="s">
        <v>85</v>
      </c>
      <c r="D33" s="17">
        <f>D32/$D$6</f>
        <v>0.6</v>
      </c>
      <c r="E33" s="17">
        <f>E32/$D$6</f>
        <v>0.6253968253968254</v>
      </c>
      <c r="F33" s="17">
        <f>F32/$D$6</f>
        <v>0.65132275132275141</v>
      </c>
      <c r="G33" s="17">
        <f>G32/$D$6</f>
        <v>0.67724867724867721</v>
      </c>
      <c r="H33" s="17">
        <f>H32/$D$6</f>
        <v>0.70511463844797184</v>
      </c>
    </row>
    <row r="35" spans="1:8">
      <c r="A35" s="7">
        <v>0</v>
      </c>
      <c r="B35" s="7">
        <v>0</v>
      </c>
      <c r="C35" s="3" t="s">
        <v>42</v>
      </c>
      <c r="D35" s="19">
        <f>D15/v_ref</f>
        <v>0.6</v>
      </c>
      <c r="E35" s="19">
        <f>E15/v_ref</f>
        <v>0.68571428571428572</v>
      </c>
      <c r="F35" s="19">
        <f>F15/v_ref</f>
        <v>0.7857142857142857</v>
      </c>
      <c r="G35" s="19">
        <f>G15/v_ref</f>
        <v>0.9</v>
      </c>
      <c r="H35" s="19">
        <f>H15/v_ref</f>
        <v>1.0333333333333334</v>
      </c>
    </row>
    <row r="36" spans="1:8">
      <c r="A36" s="7">
        <v>1</v>
      </c>
      <c r="B36" s="7">
        <v>0</v>
      </c>
      <c r="C36" s="3"/>
      <c r="D36" s="19"/>
      <c r="E36" s="19">
        <f t="shared" ref="E36:H37" si="3">E16/v_ref</f>
        <v>0.62380952380952381</v>
      </c>
      <c r="F36" s="19">
        <f t="shared" si="3"/>
        <v>0.7142857142857143</v>
      </c>
      <c r="G36" s="19">
        <f t="shared" si="3"/>
        <v>0.81428571428571428</v>
      </c>
      <c r="H36" s="19">
        <f t="shared" si="3"/>
        <v>0.93333333333333335</v>
      </c>
    </row>
    <row r="37" spans="1:8">
      <c r="A37" s="7">
        <v>0</v>
      </c>
      <c r="B37" s="7">
        <v>1</v>
      </c>
      <c r="D37" s="19"/>
      <c r="E37" s="19">
        <f t="shared" si="3"/>
        <v>0.56666666666666665</v>
      </c>
      <c r="F37" s="19">
        <f t="shared" si="3"/>
        <v>0.64761904761904765</v>
      </c>
      <c r="G37" s="19">
        <f t="shared" si="3"/>
        <v>0.73809523809523814</v>
      </c>
      <c r="H37" s="19">
        <f t="shared" si="3"/>
        <v>0.84761904761904761</v>
      </c>
    </row>
    <row r="38" spans="1:8">
      <c r="A38" s="7">
        <v>2</v>
      </c>
      <c r="B38" s="7">
        <v>0</v>
      </c>
      <c r="D38" s="19"/>
      <c r="E38" s="19"/>
      <c r="F38" s="19">
        <f t="shared" ref="F38:H40" si="4">F18/v_ref</f>
        <v>0.64761904761904765</v>
      </c>
      <c r="G38" s="19">
        <f t="shared" si="4"/>
        <v>0.73809523809523814</v>
      </c>
      <c r="H38" s="19">
        <f t="shared" si="4"/>
        <v>0.84761904761904761</v>
      </c>
    </row>
    <row r="39" spans="1:8">
      <c r="A39" s="7">
        <v>1</v>
      </c>
      <c r="B39" s="7">
        <v>1</v>
      </c>
      <c r="D39" s="19"/>
      <c r="E39" s="19"/>
      <c r="F39" s="19">
        <f t="shared" si="4"/>
        <v>0.58571428571428574</v>
      </c>
      <c r="G39" s="19">
        <f t="shared" si="4"/>
        <v>0.67142857142857137</v>
      </c>
      <c r="H39" s="19">
        <f t="shared" si="4"/>
        <v>0.76666666666666672</v>
      </c>
    </row>
    <row r="40" spans="1:8">
      <c r="A40" s="7">
        <v>0</v>
      </c>
      <c r="B40" s="7">
        <v>2</v>
      </c>
      <c r="D40" s="19"/>
      <c r="E40" s="19"/>
      <c r="F40" s="19">
        <f t="shared" si="4"/>
        <v>0.53333333333333333</v>
      </c>
      <c r="G40" s="19">
        <f t="shared" si="4"/>
        <v>0.60952380952380958</v>
      </c>
      <c r="H40" s="19">
        <f t="shared" si="4"/>
        <v>0.69523809523809521</v>
      </c>
    </row>
    <row r="41" spans="1:8">
      <c r="A41" s="7">
        <v>3</v>
      </c>
      <c r="B41" s="7">
        <v>0</v>
      </c>
      <c r="D41" s="19"/>
      <c r="E41" s="19"/>
      <c r="F41" s="19"/>
      <c r="G41" s="19">
        <f t="shared" ref="G41:H44" si="5">G21/v_ref</f>
        <v>0.67142857142857137</v>
      </c>
      <c r="H41" s="19">
        <f t="shared" si="5"/>
        <v>0.76666666666666672</v>
      </c>
    </row>
    <row r="42" spans="1:8">
      <c r="A42" s="7">
        <v>2</v>
      </c>
      <c r="B42" s="7">
        <v>1</v>
      </c>
      <c r="D42" s="19"/>
      <c r="E42" s="19"/>
      <c r="F42" s="19"/>
      <c r="G42" s="19">
        <f t="shared" si="5"/>
        <v>0.60952380952380958</v>
      </c>
      <c r="H42" s="19">
        <f t="shared" si="5"/>
        <v>0.69523809523809521</v>
      </c>
    </row>
    <row r="43" spans="1:8">
      <c r="A43" s="7">
        <v>1</v>
      </c>
      <c r="B43" s="7">
        <v>2</v>
      </c>
      <c r="D43" s="19"/>
      <c r="E43" s="19"/>
      <c r="F43" s="19"/>
      <c r="G43" s="19">
        <f t="shared" si="5"/>
        <v>0.55238095238095242</v>
      </c>
      <c r="H43" s="19">
        <f t="shared" si="5"/>
        <v>0.6333333333333333</v>
      </c>
    </row>
    <row r="44" spans="1:8">
      <c r="A44" s="7">
        <v>0</v>
      </c>
      <c r="B44" s="7">
        <v>3</v>
      </c>
      <c r="D44" s="19"/>
      <c r="E44" s="19"/>
      <c r="F44" s="19"/>
      <c r="G44" s="19">
        <f t="shared" si="5"/>
        <v>0.5</v>
      </c>
      <c r="H44" s="19">
        <f t="shared" si="5"/>
        <v>0.5714285714285714</v>
      </c>
    </row>
    <row r="45" spans="1:8">
      <c r="A45" s="7">
        <v>4</v>
      </c>
      <c r="B45" s="7">
        <v>0</v>
      </c>
      <c r="D45" s="19"/>
      <c r="E45" s="19"/>
      <c r="F45" s="19"/>
      <c r="G45" s="19"/>
      <c r="H45" s="19">
        <f>H25/v_ref</f>
        <v>0.69523809523809521</v>
      </c>
    </row>
    <row r="46" spans="1:8">
      <c r="A46" s="7">
        <v>3</v>
      </c>
      <c r="B46" s="7">
        <v>1</v>
      </c>
      <c r="D46" s="19"/>
      <c r="E46" s="19"/>
      <c r="F46" s="19"/>
      <c r="G46" s="19"/>
      <c r="H46" s="19">
        <f>H26/v_ref</f>
        <v>0.6333333333333333</v>
      </c>
    </row>
    <row r="47" spans="1:8" s="18" customFormat="1">
      <c r="A47" s="18">
        <v>2</v>
      </c>
      <c r="B47" s="7">
        <v>2</v>
      </c>
      <c r="D47" s="19"/>
      <c r="E47" s="19"/>
      <c r="F47" s="19"/>
      <c r="G47" s="19"/>
      <c r="H47" s="19">
        <f>H27/v_ref</f>
        <v>0.5714285714285714</v>
      </c>
    </row>
    <row r="48" spans="1:8" s="18" customFormat="1">
      <c r="A48" s="18">
        <v>1</v>
      </c>
      <c r="B48" s="18">
        <v>3</v>
      </c>
      <c r="D48" s="19"/>
      <c r="E48" s="19"/>
      <c r="F48" s="19"/>
      <c r="G48" s="19"/>
      <c r="H48" s="19">
        <f>H28/v_ref</f>
        <v>0.51904761904761909</v>
      </c>
    </row>
    <row r="49" spans="1:8" s="18" customFormat="1">
      <c r="A49" s="18">
        <v>0</v>
      </c>
      <c r="B49" s="18">
        <v>4</v>
      </c>
      <c r="H49" s="17">
        <f>H29/v_ref</f>
        <v>0.47142857142857142</v>
      </c>
    </row>
    <row r="50" spans="1:8" s="27" customFormat="1">
      <c r="C50" s="27" t="s">
        <v>34</v>
      </c>
    </row>
    <row r="51" spans="1:8" customFormat="1" ht="12"/>
    <row r="52" spans="1:8">
      <c r="A52" s="7">
        <f t="shared" ref="A52:B66" si="6">A15</f>
        <v>0</v>
      </c>
      <c r="B52" s="7">
        <f t="shared" si="6"/>
        <v>0</v>
      </c>
      <c r="C52" s="3" t="s">
        <v>12</v>
      </c>
      <c r="D52" s="17">
        <v>1</v>
      </c>
      <c r="E52" s="17">
        <f t="shared" ref="E52:H54" si="7">MULTINOMIAL(E$14-SUM($A52:$B52),$A52,$B52)*Prob_hi^(E$14-SUM($A52:$B52))*Prob_mid^$A52*Prob_low^$B52</f>
        <v>0.33333333333333331</v>
      </c>
      <c r="F52" s="17">
        <f t="shared" si="7"/>
        <v>0.1111111111111111</v>
      </c>
      <c r="G52" s="17">
        <f t="shared" si="7"/>
        <v>3.7037037037037035E-2</v>
      </c>
      <c r="H52" s="17">
        <f t="shared" si="7"/>
        <v>1.2345679012345675E-2</v>
      </c>
    </row>
    <row r="53" spans="1:8">
      <c r="A53" s="7">
        <f t="shared" si="6"/>
        <v>1</v>
      </c>
      <c r="B53" s="7">
        <f t="shared" si="6"/>
        <v>0</v>
      </c>
      <c r="D53" s="17"/>
      <c r="E53" s="17">
        <f t="shared" si="7"/>
        <v>0.33333333333333331</v>
      </c>
      <c r="F53" s="17">
        <f t="shared" si="7"/>
        <v>0.22222222222222221</v>
      </c>
      <c r="G53" s="17">
        <f t="shared" si="7"/>
        <v>0.11111111111111112</v>
      </c>
      <c r="H53" s="17">
        <f t="shared" si="7"/>
        <v>4.9382716049382713E-2</v>
      </c>
    </row>
    <row r="54" spans="1:8">
      <c r="A54" s="7">
        <f t="shared" si="6"/>
        <v>0</v>
      </c>
      <c r="B54" s="7">
        <f t="shared" si="6"/>
        <v>1</v>
      </c>
      <c r="D54" s="17"/>
      <c r="E54" s="17">
        <f t="shared" si="7"/>
        <v>0.33333333333333337</v>
      </c>
      <c r="F54" s="17">
        <f t="shared" si="7"/>
        <v>0.22222222222222224</v>
      </c>
      <c r="G54" s="17">
        <f t="shared" si="7"/>
        <v>0.11111111111111113</v>
      </c>
      <c r="H54" s="17">
        <f t="shared" si="7"/>
        <v>4.938271604938272E-2</v>
      </c>
    </row>
    <row r="55" spans="1:8">
      <c r="A55" s="7">
        <f t="shared" si="6"/>
        <v>2</v>
      </c>
      <c r="B55" s="7">
        <f t="shared" si="6"/>
        <v>0</v>
      </c>
      <c r="D55" s="17"/>
      <c r="E55" s="17"/>
      <c r="F55" s="17">
        <f t="shared" ref="F55:H57" si="8">MULTINOMIAL(F$14-SUM($A55:$B55),$A55,$B55)*Prob_hi^(F$14-SUM($A55:$B55))*Prob_mid^$A55*Prob_low^$B55</f>
        <v>0.1111111111111111</v>
      </c>
      <c r="G55" s="17">
        <f t="shared" si="8"/>
        <v>0.1111111111111111</v>
      </c>
      <c r="H55" s="17">
        <f t="shared" si="8"/>
        <v>7.4074074074074042E-2</v>
      </c>
    </row>
    <row r="56" spans="1:8">
      <c r="A56" s="7">
        <f t="shared" si="6"/>
        <v>1</v>
      </c>
      <c r="B56" s="7">
        <f t="shared" si="6"/>
        <v>1</v>
      </c>
      <c r="D56" s="17"/>
      <c r="E56" s="17"/>
      <c r="F56" s="17">
        <f t="shared" si="8"/>
        <v>0.22222222222222224</v>
      </c>
      <c r="G56" s="17">
        <f t="shared" si="8"/>
        <v>0.22222222222222224</v>
      </c>
      <c r="H56" s="17">
        <f t="shared" si="8"/>
        <v>0.14814814814814817</v>
      </c>
    </row>
    <row r="57" spans="1:8">
      <c r="A57" s="7">
        <f t="shared" si="6"/>
        <v>0</v>
      </c>
      <c r="B57" s="7">
        <f t="shared" si="6"/>
        <v>2</v>
      </c>
      <c r="D57" s="17"/>
      <c r="E57" s="17"/>
      <c r="F57" s="17">
        <f t="shared" si="8"/>
        <v>0.11111111111111113</v>
      </c>
      <c r="G57" s="17">
        <f t="shared" si="8"/>
        <v>0.11111111111111113</v>
      </c>
      <c r="H57" s="17">
        <f t="shared" si="8"/>
        <v>7.4074074074074056E-2</v>
      </c>
    </row>
    <row r="58" spans="1:8">
      <c r="A58" s="7">
        <f t="shared" si="6"/>
        <v>3</v>
      </c>
      <c r="B58" s="7">
        <f t="shared" si="6"/>
        <v>0</v>
      </c>
      <c r="E58" s="17"/>
      <c r="F58" s="17"/>
      <c r="G58" s="17">
        <f t="shared" ref="G58:H61" si="9">MULTINOMIAL(G$14-SUM($A58:$B58),$A58,$B58)*Prob_hi^(G$14-SUM($A58:$B58))*Prob_mid^$A58*Prob_low^$B58</f>
        <v>3.7037037037037035E-2</v>
      </c>
      <c r="H58" s="17">
        <f t="shared" si="9"/>
        <v>4.9382716049382713E-2</v>
      </c>
    </row>
    <row r="59" spans="1:8">
      <c r="A59" s="7">
        <f t="shared" si="6"/>
        <v>2</v>
      </c>
      <c r="B59" s="7">
        <f t="shared" si="6"/>
        <v>1</v>
      </c>
      <c r="E59" s="17"/>
      <c r="F59" s="17"/>
      <c r="G59" s="17">
        <f t="shared" si="9"/>
        <v>0.11111111111111113</v>
      </c>
      <c r="H59" s="17">
        <f t="shared" si="9"/>
        <v>0.14814814814814817</v>
      </c>
    </row>
    <row r="60" spans="1:8">
      <c r="A60" s="7">
        <f t="shared" si="6"/>
        <v>1</v>
      </c>
      <c r="B60" s="7">
        <f t="shared" si="6"/>
        <v>2</v>
      </c>
      <c r="E60" s="17"/>
      <c r="F60" s="17"/>
      <c r="G60" s="17">
        <f t="shared" si="9"/>
        <v>0.11111111111111113</v>
      </c>
      <c r="H60" s="17">
        <f t="shared" si="9"/>
        <v>0.14814814814814817</v>
      </c>
    </row>
    <row r="61" spans="1:8">
      <c r="A61" s="7">
        <f t="shared" si="6"/>
        <v>0</v>
      </c>
      <c r="B61" s="7">
        <f t="shared" si="6"/>
        <v>3</v>
      </c>
      <c r="E61" s="17"/>
      <c r="F61" s="17"/>
      <c r="G61" s="17">
        <f t="shared" si="9"/>
        <v>3.7037037037037049E-2</v>
      </c>
      <c r="H61" s="17">
        <f t="shared" si="9"/>
        <v>4.9382716049382727E-2</v>
      </c>
    </row>
    <row r="62" spans="1:8">
      <c r="A62" s="7">
        <f t="shared" si="6"/>
        <v>4</v>
      </c>
      <c r="B62" s="7">
        <f t="shared" si="6"/>
        <v>0</v>
      </c>
      <c r="E62" s="17"/>
      <c r="F62" s="17"/>
      <c r="G62" s="17"/>
      <c r="H62" s="17">
        <f>MULTINOMIAL(H$14-SUM($A62:$B62),$A62,$B62)*Prob_hi^(H$14-SUM($A62:$B62))*Prob_mid^$A62*Prob_low^$B62</f>
        <v>1.2345679012345675E-2</v>
      </c>
    </row>
    <row r="63" spans="1:8">
      <c r="A63" s="7">
        <f t="shared" si="6"/>
        <v>3</v>
      </c>
      <c r="B63" s="7">
        <f t="shared" si="6"/>
        <v>1</v>
      </c>
      <c r="E63" s="17"/>
      <c r="F63" s="17"/>
      <c r="G63" s="17"/>
      <c r="H63" s="17">
        <f>MULTINOMIAL(H$14-SUM($A63:$B63),$A63,$B63)*Prob_hi^(H$14-SUM($A63:$B63))*Prob_mid^$A63*Prob_low^$B63</f>
        <v>4.938271604938272E-2</v>
      </c>
    </row>
    <row r="64" spans="1:8">
      <c r="A64" s="7">
        <f t="shared" si="6"/>
        <v>2</v>
      </c>
      <c r="B64" s="7">
        <f t="shared" si="6"/>
        <v>2</v>
      </c>
      <c r="E64" s="18"/>
      <c r="F64" s="18"/>
      <c r="G64" s="18"/>
      <c r="H64" s="17">
        <f>MULTINOMIAL(H$14-SUM($A64:$B64),$A64,$B64)*Prob_hi^(H$14-SUM($A64:$B64))*Prob_mid^$A64*Prob_low^$B64</f>
        <v>7.4074074074074056E-2</v>
      </c>
    </row>
    <row r="65" spans="1:9">
      <c r="A65" s="7">
        <f t="shared" si="6"/>
        <v>1</v>
      </c>
      <c r="B65" s="7">
        <f t="shared" si="6"/>
        <v>3</v>
      </c>
      <c r="E65" s="18"/>
      <c r="F65" s="18"/>
      <c r="G65" s="18"/>
      <c r="H65" s="17">
        <f>MULTINOMIAL(H$14-SUM($A65:$B65),$A65,$B65)*Prob_hi^(H$14-SUM($A65:$B65))*Prob_mid^$A65*Prob_low^$B65</f>
        <v>4.9382716049382727E-2</v>
      </c>
    </row>
    <row r="66" spans="1:9">
      <c r="A66" s="7">
        <f t="shared" si="6"/>
        <v>0</v>
      </c>
      <c r="B66" s="7">
        <f t="shared" si="6"/>
        <v>4</v>
      </c>
      <c r="D66" s="21"/>
      <c r="E66" s="18"/>
      <c r="F66" s="18"/>
      <c r="G66" s="18"/>
      <c r="H66" s="17">
        <f>MULTINOMIAL(H$14-SUM($A66:$B66),$A66,$B66)*Prob_hi^(H$14-SUM($A66:$B66))*Prob_mid^$A66*Prob_low^$B66</f>
        <v>1.234567901234568E-2</v>
      </c>
    </row>
    <row r="67" spans="1:9" s="27" customFormat="1">
      <c r="C67" s="27" t="s">
        <v>34</v>
      </c>
    </row>
    <row r="68" spans="1:9">
      <c r="C68" s="7" t="s">
        <v>13</v>
      </c>
      <c r="D68" s="17">
        <f>SUM(D52:D67)</f>
        <v>1</v>
      </c>
      <c r="E68" s="17">
        <f>SUM(E52:E67)</f>
        <v>1</v>
      </c>
      <c r="F68" s="17">
        <f>SUM(F52:F67)</f>
        <v>1</v>
      </c>
      <c r="G68" s="17">
        <f>SUM(G52:G67)</f>
        <v>1.0000000000000002</v>
      </c>
      <c r="H68" s="17">
        <f>SUM(H52:H67)</f>
        <v>1</v>
      </c>
    </row>
    <row r="70" spans="1:9">
      <c r="C70" s="3" t="s">
        <v>35</v>
      </c>
      <c r="D70" s="17">
        <f>SUMIF(D$15:D$30,"&lt;="&amp;D15,D$52:D$67)</f>
        <v>1</v>
      </c>
      <c r="E70" s="17">
        <f>SUMIF(E$15:E$30,"&lt;="&amp;E15,E$52:E$67)</f>
        <v>1</v>
      </c>
      <c r="F70" s="17">
        <f>SUMIF(F$15:F$30,"&lt;="&amp;F15,F$52:F$67)</f>
        <v>1</v>
      </c>
      <c r="G70" s="17">
        <f>SUMIF(G$15:G$30,"&lt;="&amp;G15,G$52:G$67)</f>
        <v>1.0000000000000002</v>
      </c>
      <c r="H70" s="17">
        <f>SUMIF(H$15:H$30,"&lt;="&amp;H15,H$52:H$67)</f>
        <v>1</v>
      </c>
    </row>
    <row r="71" spans="1:9">
      <c r="E71" s="17">
        <f t="shared" ref="E71:H72" si="10">SUMIF(E$15:E$30,"&lt;="&amp;E16,E$52:E$67)</f>
        <v>0.66666666666666674</v>
      </c>
      <c r="F71" s="17">
        <f t="shared" si="10"/>
        <v>0.88888888888888895</v>
      </c>
      <c r="G71" s="17">
        <f t="shared" si="10"/>
        <v>0.96296296296296313</v>
      </c>
      <c r="H71" s="17">
        <f t="shared" si="10"/>
        <v>0.98765432098765427</v>
      </c>
    </row>
    <row r="72" spans="1:9">
      <c r="E72" s="17">
        <f t="shared" si="10"/>
        <v>0.33333333333333337</v>
      </c>
      <c r="F72" s="17">
        <f t="shared" si="10"/>
        <v>0.66666666666666674</v>
      </c>
      <c r="G72" s="17">
        <f t="shared" si="10"/>
        <v>0.85185185185185197</v>
      </c>
      <c r="H72" s="17">
        <f t="shared" si="10"/>
        <v>0.93827160493827155</v>
      </c>
    </row>
    <row r="73" spans="1:9">
      <c r="F73" s="17">
        <f t="shared" ref="F73:H75" si="11">SUMIF(F$15:F$30,"&lt;="&amp;F18,F$52:F$67)</f>
        <v>0.66666666666666674</v>
      </c>
      <c r="G73" s="17">
        <f t="shared" si="11"/>
        <v>0.85185185185185197</v>
      </c>
      <c r="H73" s="17">
        <f t="shared" si="11"/>
        <v>0.93827160493827155</v>
      </c>
    </row>
    <row r="74" spans="1:9">
      <c r="F74" s="17">
        <f t="shared" si="11"/>
        <v>0.33333333333333337</v>
      </c>
      <c r="G74" s="17">
        <f t="shared" si="11"/>
        <v>0.62962962962962976</v>
      </c>
      <c r="H74" s="17">
        <f t="shared" si="11"/>
        <v>0.81481481481481477</v>
      </c>
    </row>
    <row r="75" spans="1:9">
      <c r="F75" s="17">
        <f t="shared" si="11"/>
        <v>0.11111111111111113</v>
      </c>
      <c r="G75" s="17">
        <f t="shared" si="11"/>
        <v>0.37037037037037041</v>
      </c>
      <c r="H75" s="17">
        <f t="shared" si="11"/>
        <v>0.61728395061728392</v>
      </c>
    </row>
    <row r="76" spans="1:9">
      <c r="F76" s="17"/>
      <c r="G76" s="17">
        <f t="shared" ref="G76:H79" si="12">SUMIF(G$15:G$30,"&lt;="&amp;G21,G$52:G$67)</f>
        <v>0.62962962962962976</v>
      </c>
      <c r="H76" s="17">
        <f t="shared" si="12"/>
        <v>0.81481481481481477</v>
      </c>
    </row>
    <row r="77" spans="1:9">
      <c r="G77" s="17">
        <f t="shared" si="12"/>
        <v>0.37037037037037041</v>
      </c>
      <c r="H77" s="17">
        <f t="shared" si="12"/>
        <v>0.61728395061728392</v>
      </c>
    </row>
    <row r="78" spans="1:9">
      <c r="G78" s="17">
        <f t="shared" si="12"/>
        <v>0.1481481481481482</v>
      </c>
      <c r="H78" s="17">
        <f t="shared" si="12"/>
        <v>0.38271604938271608</v>
      </c>
      <c r="I78" s="22"/>
    </row>
    <row r="79" spans="1:9">
      <c r="G79" s="17">
        <f t="shared" si="12"/>
        <v>3.7037037037037049E-2</v>
      </c>
      <c r="H79" s="17">
        <f t="shared" si="12"/>
        <v>0.18518518518518517</v>
      </c>
      <c r="I79" s="22"/>
    </row>
    <row r="80" spans="1:9">
      <c r="H80" s="17">
        <f>SUMIF(H$15:H$30,"&lt;="&amp;H25,H$52:H$67)</f>
        <v>0.61728395061728392</v>
      </c>
      <c r="I80" s="22"/>
    </row>
    <row r="81" spans="3:9">
      <c r="H81" s="17">
        <f>SUMIF(H$15:H$30,"&lt;="&amp;H26,H$52:H$67)</f>
        <v>0.38271604938271608</v>
      </c>
      <c r="I81" s="22"/>
    </row>
    <row r="82" spans="3:9">
      <c r="H82" s="17">
        <f>SUMIF(H$15:H$30,"&lt;="&amp;H27,H$52:H$67)</f>
        <v>0.18518518518518517</v>
      </c>
      <c r="I82" s="22"/>
    </row>
    <row r="83" spans="3:9">
      <c r="H83" s="17">
        <f>SUMIF(H$15:H$30,"&lt;="&amp;H28,H$52:H$67)</f>
        <v>6.1728395061728406E-2</v>
      </c>
      <c r="I83" s="22"/>
    </row>
    <row r="84" spans="3:9">
      <c r="H84" s="17">
        <f>SUMIF(H$15:H$30,"&lt;="&amp;H29,H$52:H$67)</f>
        <v>1.234567901234568E-2</v>
      </c>
      <c r="I84" s="22"/>
    </row>
    <row r="85" spans="3:9" s="27" customFormat="1">
      <c r="C85" s="27" t="s">
        <v>34</v>
      </c>
    </row>
    <row r="86" spans="3:9">
      <c r="I86" s="22"/>
    </row>
    <row r="87" spans="3:9">
      <c r="C87" s="3" t="s">
        <v>37</v>
      </c>
      <c r="D87" s="17">
        <f>SUMIF(D$15:D$30,"&lt;"&amp;D15,D$52:D$67)</f>
        <v>0</v>
      </c>
      <c r="E87" s="17">
        <f>SUMIF(E$15:E$30,"&lt;"&amp;E15,E$52:E$67)</f>
        <v>0.66666666666666674</v>
      </c>
      <c r="F87" s="17">
        <f>SUMIF(F$15:F$30,"&lt;"&amp;F15,F$52:F$67)</f>
        <v>0.88888888888888895</v>
      </c>
      <c r="G87" s="17">
        <f>SUMIF(G$15:G$30,"&lt;"&amp;G15,G$52:G$67)</f>
        <v>0.96296296296296313</v>
      </c>
      <c r="H87" s="17">
        <f>SUMIF(H$15:H$30,"&lt;"&amp;H15,H$52:H$67)</f>
        <v>0.98765432098765427</v>
      </c>
      <c r="I87" s="22"/>
    </row>
    <row r="88" spans="3:9">
      <c r="E88" s="17">
        <f t="shared" ref="E88:H89" si="13">SUMIF(E$15:E$30,"&lt;"&amp;E16,E$52:E$67)</f>
        <v>0.33333333333333337</v>
      </c>
      <c r="F88" s="17">
        <f t="shared" si="13"/>
        <v>0.66666666666666674</v>
      </c>
      <c r="G88" s="17">
        <f t="shared" si="13"/>
        <v>0.85185185185185197</v>
      </c>
      <c r="H88" s="17">
        <f t="shared" si="13"/>
        <v>0.93827160493827155</v>
      </c>
      <c r="I88" s="22"/>
    </row>
    <row r="89" spans="3:9">
      <c r="E89" s="17">
        <f t="shared" si="13"/>
        <v>0</v>
      </c>
      <c r="F89" s="17">
        <f t="shared" si="13"/>
        <v>0.33333333333333337</v>
      </c>
      <c r="G89" s="17">
        <f t="shared" si="13"/>
        <v>0.62962962962962976</v>
      </c>
      <c r="H89" s="17">
        <f t="shared" si="13"/>
        <v>0.81481481481481477</v>
      </c>
    </row>
    <row r="90" spans="3:9">
      <c r="F90" s="17">
        <f t="shared" ref="F90:H92" si="14">SUMIF(F$15:F$30,"&lt;"&amp;F18,F$52:F$67)</f>
        <v>0.33333333333333337</v>
      </c>
      <c r="G90" s="17">
        <f t="shared" si="14"/>
        <v>0.62962962962962976</v>
      </c>
      <c r="H90" s="17">
        <f t="shared" si="14"/>
        <v>0.81481481481481477</v>
      </c>
    </row>
    <row r="91" spans="3:9">
      <c r="F91" s="17">
        <f t="shared" si="14"/>
        <v>0.11111111111111113</v>
      </c>
      <c r="G91" s="17">
        <f t="shared" si="14"/>
        <v>0.37037037037037041</v>
      </c>
      <c r="H91" s="17">
        <f t="shared" si="14"/>
        <v>0.61728395061728392</v>
      </c>
    </row>
    <row r="92" spans="3:9">
      <c r="F92" s="17">
        <f t="shared" si="14"/>
        <v>0</v>
      </c>
      <c r="G92" s="17">
        <f t="shared" si="14"/>
        <v>0.1481481481481482</v>
      </c>
      <c r="H92" s="17">
        <f t="shared" si="14"/>
        <v>0.38271604938271608</v>
      </c>
    </row>
    <row r="93" spans="3:9">
      <c r="F93" s="17"/>
      <c r="G93" s="17">
        <f t="shared" ref="G93:H96" si="15">SUMIF(G$15:G$30,"&lt;"&amp;G21,G$52:G$67)</f>
        <v>0.37037037037037041</v>
      </c>
      <c r="H93" s="17">
        <f t="shared" si="15"/>
        <v>0.61728395061728392</v>
      </c>
    </row>
    <row r="94" spans="3:9">
      <c r="G94" s="17">
        <f t="shared" si="15"/>
        <v>0.1481481481481482</v>
      </c>
      <c r="H94" s="17">
        <f t="shared" si="15"/>
        <v>0.38271604938271608</v>
      </c>
    </row>
    <row r="95" spans="3:9">
      <c r="G95" s="17">
        <f t="shared" si="15"/>
        <v>3.7037037037037049E-2</v>
      </c>
      <c r="H95" s="17">
        <f t="shared" si="15"/>
        <v>0.18518518518518517</v>
      </c>
    </row>
    <row r="96" spans="3:9">
      <c r="G96" s="17">
        <f t="shared" si="15"/>
        <v>0</v>
      </c>
      <c r="H96" s="17">
        <f t="shared" si="15"/>
        <v>6.1728395061728406E-2</v>
      </c>
    </row>
    <row r="97" spans="3:8">
      <c r="H97" s="17">
        <f>SUMIF(H$15:H$30,"&lt;"&amp;H25,H$52:H$67)</f>
        <v>0.38271604938271608</v>
      </c>
    </row>
    <row r="98" spans="3:8">
      <c r="H98" s="17">
        <f>SUMIF(H$15:H$30,"&lt;"&amp;H26,H$52:H$67)</f>
        <v>0.18518518518518517</v>
      </c>
    </row>
    <row r="99" spans="3:8">
      <c r="H99" s="17">
        <f>SUMIF(H$15:H$30,"&lt;"&amp;H27,H$52:H$67)</f>
        <v>6.1728395061728406E-2</v>
      </c>
    </row>
    <row r="100" spans="3:8">
      <c r="H100" s="17">
        <f>SUMIF(H$15:H$30,"&lt;"&amp;H28,H$52:H$67)</f>
        <v>1.234567901234568E-2</v>
      </c>
    </row>
    <row r="101" spans="3:8">
      <c r="H101" s="17">
        <f>SUMIF(H$15:H$30,"&lt;"&amp;H29,H$52:H$67)</f>
        <v>0</v>
      </c>
    </row>
    <row r="102" spans="3:8">
      <c r="C102" s="27" t="s">
        <v>34</v>
      </c>
      <c r="D102" s="27"/>
      <c r="E102" s="27"/>
      <c r="F102" s="27"/>
      <c r="G102" s="27"/>
      <c r="H102" s="27"/>
    </row>
    <row r="104" spans="3:8">
      <c r="C104" s="3" t="s">
        <v>38</v>
      </c>
      <c r="D104" s="17">
        <f>D70-D87</f>
        <v>1</v>
      </c>
      <c r="E104" s="17">
        <f t="shared" ref="E104:H118" si="16">E70-E87</f>
        <v>0.33333333333333326</v>
      </c>
      <c r="F104" s="17">
        <f t="shared" si="16"/>
        <v>0.11111111111111105</v>
      </c>
      <c r="G104" s="17">
        <f t="shared" si="16"/>
        <v>3.703703703703709E-2</v>
      </c>
      <c r="H104" s="17">
        <f t="shared" si="16"/>
        <v>1.2345679012345734E-2</v>
      </c>
    </row>
    <row r="105" spans="3:8">
      <c r="E105" s="17">
        <f t="shared" si="16"/>
        <v>0.33333333333333337</v>
      </c>
      <c r="F105" s="17">
        <f t="shared" si="16"/>
        <v>0.22222222222222221</v>
      </c>
      <c r="G105" s="17">
        <f t="shared" si="16"/>
        <v>0.11111111111111116</v>
      </c>
      <c r="H105" s="17">
        <f t="shared" si="16"/>
        <v>4.9382716049382713E-2</v>
      </c>
    </row>
    <row r="106" spans="3:8">
      <c r="E106" s="17">
        <f t="shared" si="16"/>
        <v>0.33333333333333337</v>
      </c>
      <c r="F106" s="17">
        <f t="shared" si="16"/>
        <v>0.33333333333333337</v>
      </c>
      <c r="G106" s="17">
        <f t="shared" si="16"/>
        <v>0.22222222222222221</v>
      </c>
      <c r="H106" s="17">
        <f t="shared" si="16"/>
        <v>0.12345679012345678</v>
      </c>
    </row>
    <row r="107" spans="3:8">
      <c r="F107" s="17">
        <f t="shared" si="16"/>
        <v>0.33333333333333337</v>
      </c>
      <c r="G107" s="17">
        <f t="shared" si="16"/>
        <v>0.22222222222222221</v>
      </c>
      <c r="H107" s="17">
        <f t="shared" si="16"/>
        <v>0.12345679012345678</v>
      </c>
    </row>
    <row r="108" spans="3:8">
      <c r="F108" s="17">
        <f t="shared" si="16"/>
        <v>0.22222222222222224</v>
      </c>
      <c r="G108" s="17">
        <f t="shared" si="16"/>
        <v>0.25925925925925936</v>
      </c>
      <c r="H108" s="17">
        <f t="shared" si="16"/>
        <v>0.19753086419753085</v>
      </c>
    </row>
    <row r="109" spans="3:8">
      <c r="F109" s="17">
        <f t="shared" si="16"/>
        <v>0.11111111111111113</v>
      </c>
      <c r="G109" s="17">
        <f t="shared" si="16"/>
        <v>0.22222222222222221</v>
      </c>
      <c r="H109" s="17">
        <f t="shared" si="16"/>
        <v>0.23456790123456783</v>
      </c>
    </row>
    <row r="110" spans="3:8">
      <c r="F110" s="17"/>
      <c r="G110" s="17">
        <f t="shared" si="16"/>
        <v>0.25925925925925936</v>
      </c>
      <c r="H110" s="17">
        <f t="shared" si="16"/>
        <v>0.19753086419753085</v>
      </c>
    </row>
    <row r="111" spans="3:8">
      <c r="G111" s="17">
        <f t="shared" si="16"/>
        <v>0.22222222222222221</v>
      </c>
      <c r="H111" s="17">
        <f t="shared" si="16"/>
        <v>0.23456790123456783</v>
      </c>
    </row>
    <row r="112" spans="3:8">
      <c r="G112" s="17">
        <f t="shared" si="16"/>
        <v>0.11111111111111115</v>
      </c>
      <c r="H112" s="17">
        <f t="shared" si="16"/>
        <v>0.19753086419753091</v>
      </c>
    </row>
    <row r="113" spans="3:8">
      <c r="G113" s="17">
        <f t="shared" si="16"/>
        <v>3.7037037037037049E-2</v>
      </c>
      <c r="H113" s="17">
        <f t="shared" si="16"/>
        <v>0.12345679012345677</v>
      </c>
    </row>
    <row r="114" spans="3:8">
      <c r="H114" s="17">
        <f t="shared" si="16"/>
        <v>0.23456790123456783</v>
      </c>
    </row>
    <row r="115" spans="3:8">
      <c r="H115" s="17">
        <f t="shared" si="16"/>
        <v>0.19753086419753091</v>
      </c>
    </row>
    <row r="116" spans="3:8">
      <c r="H116" s="17">
        <f t="shared" si="16"/>
        <v>0.12345679012345677</v>
      </c>
    </row>
    <row r="117" spans="3:8">
      <c r="H117" s="17">
        <f t="shared" si="16"/>
        <v>4.9382716049382727E-2</v>
      </c>
    </row>
    <row r="118" spans="3:8">
      <c r="H118" s="17">
        <f t="shared" si="16"/>
        <v>1.234567901234568E-2</v>
      </c>
    </row>
    <row r="119" spans="3:8">
      <c r="C119" s="27" t="s">
        <v>34</v>
      </c>
      <c r="D119" s="27"/>
      <c r="E119" s="27"/>
      <c r="F119" s="27"/>
      <c r="G119" s="27"/>
      <c r="H119" s="27"/>
    </row>
  </sheetData>
  <conditionalFormatting sqref="L8">
    <cfRule type="cellIs" dxfId="10" priority="5" operator="lessThan">
      <formula>0</formula>
    </cfRule>
  </conditionalFormatting>
  <conditionalFormatting sqref="D34:H120 D14:H32">
    <cfRule type="expression" dxfId="9" priority="7">
      <formula>D$14&gt;$D$8</formula>
    </cfRule>
  </conditionalFormatting>
  <conditionalFormatting sqref="D33:H33">
    <cfRule type="expression" dxfId="8" priority="3">
      <formula>D$14&gt;$D$8</formula>
    </cfRule>
  </conditionalFormatting>
  <conditionalFormatting sqref="M10">
    <cfRule type="cellIs" dxfId="7" priority="1" operator="notBetween">
      <formula>$L$9</formula>
      <formula>$L$11</formula>
    </cfRule>
  </conditionalFormatting>
  <pageMargins left="0.75" right="0.75" top="1" bottom="1" header="0.5" footer="0.5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M121"/>
  <sheetViews>
    <sheetView tabSelected="1" workbookViewId="0">
      <pane ySplit="15" topLeftCell="A16" activePane="bottomLeft" state="frozenSplit"/>
      <selection pane="bottomLeft" activeCell="P32" sqref="P32"/>
    </sheetView>
  </sheetViews>
  <sheetFormatPr baseColWidth="10" defaultColWidth="8.83203125" defaultRowHeight="15" x14ac:dyDescent="0"/>
  <cols>
    <col min="1" max="2" width="8.83203125" style="7"/>
    <col min="3" max="3" width="17.33203125" style="7" customWidth="1"/>
    <col min="4" max="4" width="9.5" style="7" bestFit="1" customWidth="1"/>
    <col min="5" max="6" width="9.83203125" style="7" bestFit="1" customWidth="1"/>
    <col min="7" max="7" width="10.33203125" style="7" customWidth="1"/>
    <col min="8" max="8" width="10.1640625" style="7" customWidth="1"/>
    <col min="9" max="9" width="10.5" style="7" bestFit="1" customWidth="1"/>
    <col min="10" max="10" width="11" style="7" bestFit="1" customWidth="1"/>
    <col min="11" max="16384" width="8.83203125" style="7"/>
  </cols>
  <sheetData>
    <row r="1" spans="1:13" s="24" customFormat="1" ht="20" thickBot="1">
      <c r="C1" s="24" t="s">
        <v>102</v>
      </c>
    </row>
    <row r="2" spans="1:13" ht="16" thickTop="1">
      <c r="C2" s="23" t="s">
        <v>103</v>
      </c>
    </row>
    <row r="3" spans="1:13" s="25" customFormat="1">
      <c r="C3" s="25" t="s">
        <v>43</v>
      </c>
    </row>
    <row r="4" spans="1:13" s="25" customFormat="1">
      <c r="C4" s="25" t="s">
        <v>44</v>
      </c>
    </row>
    <row r="6" spans="1:13">
      <c r="C6" s="28" t="s">
        <v>20</v>
      </c>
      <c r="D6" s="4">
        <v>5.94</v>
      </c>
      <c r="E6" s="7" t="s">
        <v>104</v>
      </c>
      <c r="F6" s="10" t="s">
        <v>28</v>
      </c>
      <c r="G6" s="4">
        <v>0.4</v>
      </c>
      <c r="H6" s="7" t="s">
        <v>39</v>
      </c>
    </row>
    <row r="7" spans="1:13">
      <c r="C7" s="9" t="s">
        <v>91</v>
      </c>
      <c r="D7" s="4">
        <v>2</v>
      </c>
      <c r="F7" s="10" t="s">
        <v>29</v>
      </c>
      <c r="G7" s="4">
        <v>0.3</v>
      </c>
      <c r="H7" s="7" t="s">
        <v>40</v>
      </c>
    </row>
    <row r="8" spans="1:13">
      <c r="C8" s="9" t="s">
        <v>18</v>
      </c>
      <c r="D8" s="4">
        <v>10</v>
      </c>
      <c r="F8" s="10" t="s">
        <v>30</v>
      </c>
      <c r="G8" s="5">
        <f>1-SUM(G6:G7)</f>
        <v>0.30000000000000004</v>
      </c>
    </row>
    <row r="9" spans="1:13">
      <c r="C9" s="12" t="s">
        <v>19</v>
      </c>
      <c r="D9" s="4">
        <v>4</v>
      </c>
      <c r="F9" s="7" t="s">
        <v>31</v>
      </c>
      <c r="G9" s="4">
        <f>1/0.8</f>
        <v>1.25</v>
      </c>
      <c r="H9" s="5">
        <f>POWER(v_max/v_start, 1/n_periods)</f>
        <v>1.297498240269205</v>
      </c>
      <c r="I9" s="7" t="s">
        <v>36</v>
      </c>
    </row>
    <row r="10" spans="1:13">
      <c r="C10" s="7" t="s">
        <v>41</v>
      </c>
      <c r="D10" s="2">
        <v>6.42</v>
      </c>
      <c r="F10" s="7" t="s">
        <v>32</v>
      </c>
      <c r="G10" s="4">
        <v>1</v>
      </c>
      <c r="H10" s="26">
        <f>SQRT(low/hi)*hi</f>
        <v>1</v>
      </c>
      <c r="I10" s="7" t="s">
        <v>47</v>
      </c>
    </row>
    <row r="11" spans="1:13">
      <c r="F11" s="7" t="s">
        <v>33</v>
      </c>
      <c r="G11" s="4">
        <v>0.8</v>
      </c>
      <c r="H11" s="5">
        <f>POWER(v_min/v_start, 1/n_periods)</f>
        <v>0.8206099398622182</v>
      </c>
    </row>
    <row r="12" spans="1:13">
      <c r="F12" s="7" t="s">
        <v>86</v>
      </c>
      <c r="G12" s="7" t="s">
        <v>89</v>
      </c>
      <c r="H12" s="2">
        <v>1</v>
      </c>
      <c r="I12" s="7" t="s">
        <v>87</v>
      </c>
      <c r="J12" s="7">
        <f>10^(-round_to)</f>
        <v>0.1</v>
      </c>
      <c r="K12" s="7" t="s">
        <v>88</v>
      </c>
      <c r="L12" s="41">
        <f>J12/v_start</f>
        <v>1.6835016835016835E-2</v>
      </c>
      <c r="M12" s="7" t="s">
        <v>90</v>
      </c>
    </row>
    <row r="13" spans="1:13">
      <c r="L13" s="41"/>
    </row>
    <row r="14" spans="1:13">
      <c r="C14" s="28" t="s">
        <v>92</v>
      </c>
      <c r="D14" s="7">
        <v>2010</v>
      </c>
      <c r="E14" s="7">
        <v>2020</v>
      </c>
      <c r="F14" s="7">
        <v>2030</v>
      </c>
      <c r="G14" s="7">
        <v>2040</v>
      </c>
      <c r="H14" s="7">
        <v>2050</v>
      </c>
    </row>
    <row r="15" spans="1:13">
      <c r="A15" s="7" t="s">
        <v>26</v>
      </c>
      <c r="B15" s="7" t="s">
        <v>27</v>
      </c>
      <c r="D15" s="16">
        <v>0</v>
      </c>
      <c r="E15" s="16">
        <v>1</v>
      </c>
      <c r="F15" s="16">
        <v>2</v>
      </c>
      <c r="G15" s="16">
        <v>3</v>
      </c>
      <c r="H15" s="16">
        <v>4</v>
      </c>
    </row>
    <row r="16" spans="1:13">
      <c r="A16" s="7">
        <v>0</v>
      </c>
      <c r="B16" s="7">
        <v>0</v>
      </c>
      <c r="C16" s="3" t="s">
        <v>25</v>
      </c>
      <c r="D16" s="17">
        <f>IF(NOT(ISBLANK(round_to)),ROUND(v_start, round_to),v_start)</f>
        <v>5.9</v>
      </c>
      <c r="E16" s="17">
        <f>IF(NOT(ISBLANK(round_to)),ROUND(v_start*hi^(E$15-SUM($A16:$B16))*mid^$A16*low^$B16,round_to),v_start*hi^(E$15-SUM($A16:$B16))*mid^$A16*low^$B16)</f>
        <v>7.4</v>
      </c>
      <c r="F16" s="17">
        <f>IF(NOT(ISBLANK(round_to)),ROUND(v_start*hi^(F$15-SUM($A16:$B16))*mid^$A16*low^$B16, round_to),v_start*hi^(F$15-SUM($A16:$B16))*mid^$A16*low^$B16)</f>
        <v>9.3000000000000007</v>
      </c>
      <c r="G16" s="17">
        <f>IF(NOT(ISBLANK(round_to)),ROUND(v_start*hi^(G$15-SUM($A16:$B16))*mid^$A16*low^$B16, round_to),v_start*hi^(G$15-SUM($A16:$B16))*mid^$A16*low^$B16)</f>
        <v>11.6</v>
      </c>
      <c r="H16" s="17">
        <f>IF(NOT(ISBLANK(round_to)),ROUND(v_start*hi^(H$15-SUM($A16:$B16))*mid^$A16*low^$B16, round_to),v_start*hi^(H$15-SUM($A16:$B16))*mid^$A16*low^$B16)</f>
        <v>14.5</v>
      </c>
    </row>
    <row r="17" spans="1:8">
      <c r="A17" s="7">
        <v>1</v>
      </c>
      <c r="B17" s="7">
        <v>0</v>
      </c>
      <c r="C17" s="3"/>
      <c r="D17" s="17"/>
      <c r="E17" s="17">
        <f>IF(NOT(ISBLANK(round_to)),ROUND(v_start*hi^(E$15-SUM($A17:$B17))*mid^$A17*low^$B17,round_to),v_start*hi^(E$15-SUM($A17:$B17))*mid^$A17*low^$B17)</f>
        <v>5.9</v>
      </c>
      <c r="F17" s="17">
        <f>IF(NOT(ISBLANK(round_to)),ROUND(v_start*hi^(F$15-SUM($A17:$B17))*mid^$A17*low^$B17, round_to),v_start*hi^(F$15-SUM($A17:$B17))*mid^$A17*low^$B17)</f>
        <v>7.4</v>
      </c>
      <c r="G17" s="17">
        <f>IF(NOT(ISBLANK(round_to)),ROUND(v_start*hi^(G$15-SUM($A17:$B17))*mid^$A17*low^$B17, round_to),v_start*hi^(G$15-SUM($A17:$B17))*mid^$A17*low^$B17)</f>
        <v>9.3000000000000007</v>
      </c>
      <c r="H17" s="17">
        <f>IF(NOT(ISBLANK(round_to)),ROUND(v_start*hi^(H$15-SUM($A17:$B17))*mid^$A17*low^$B17, round_to),v_start*hi^(H$15-SUM($A17:$B17))*mid^$A17*low^$B17)</f>
        <v>11.6</v>
      </c>
    </row>
    <row r="18" spans="1:8">
      <c r="A18" s="7">
        <v>0</v>
      </c>
      <c r="B18" s="7">
        <v>1</v>
      </c>
      <c r="D18" s="17"/>
      <c r="E18" s="17">
        <f>IF(NOT(ISBLANK(round_to)),ROUND(v_start*hi^(E$15-SUM($A18:$B18))*mid^$A18*low^$B18,round_to),v_start*hi^(E$15-SUM($A18:$B18))*mid^$A18*low^$B18)</f>
        <v>4.8</v>
      </c>
      <c r="F18" s="17">
        <f>IF(NOT(ISBLANK(round_to)),ROUND(v_start*hi^(F$15-SUM($A18:$B18))*mid^$A18*low^$B18, round_to),v_start*hi^(F$15-SUM($A18:$B18))*mid^$A18*low^$B18)</f>
        <v>5.9</v>
      </c>
      <c r="G18" s="17">
        <f>IF(NOT(ISBLANK(round_to)),ROUND(v_start*hi^(G$15-SUM($A18:$B18))*mid^$A18*low^$B18, round_to),v_start*hi^(G$15-SUM($A18:$B18))*mid^$A18*low^$B18)</f>
        <v>7.4</v>
      </c>
      <c r="H18" s="17">
        <f>IF(NOT(ISBLANK(round_to)),ROUND(v_start*hi^(H$15-SUM($A18:$B18))*mid^$A18*low^$B18, round_to),v_start*hi^(H$15-SUM($A18:$B18))*mid^$A18*low^$B18)</f>
        <v>9.3000000000000007</v>
      </c>
    </row>
    <row r="19" spans="1:8">
      <c r="A19" s="7">
        <v>2</v>
      </c>
      <c r="B19" s="7">
        <v>0</v>
      </c>
      <c r="D19" s="17"/>
      <c r="E19" s="17"/>
      <c r="F19" s="17">
        <f>IF(NOT(ISBLANK(round_to)),ROUND(v_start*hi^(F$15-SUM($A19:$B19))*mid^$A19*low^$B19, round_to),v_start*hi^(F$15-SUM($A19:$B19))*mid^$A19*low^$B19)</f>
        <v>5.9</v>
      </c>
      <c r="G19" s="17">
        <f>IF(NOT(ISBLANK(round_to)),ROUND(v_start*hi^(G$15-SUM($A19:$B19))*mid^$A19*low^$B19, round_to),v_start*hi^(G$15-SUM($A19:$B19))*mid^$A19*low^$B19)</f>
        <v>7.4</v>
      </c>
      <c r="H19" s="17">
        <f>IF(NOT(ISBLANK(round_to)),ROUND(v_start*hi^(H$15-SUM($A19:$B19))*mid^$A19*low^$B19, round_to),v_start*hi^(H$15-SUM($A19:$B19))*mid^$A19*low^$B19)</f>
        <v>9.3000000000000007</v>
      </c>
    </row>
    <row r="20" spans="1:8">
      <c r="A20" s="7">
        <v>1</v>
      </c>
      <c r="B20" s="7">
        <v>1</v>
      </c>
      <c r="D20" s="17"/>
      <c r="E20" s="17"/>
      <c r="F20" s="17">
        <f>IF(NOT(ISBLANK(round_to)),ROUND(v_start*hi^(F$15-SUM($A20:$B20))*mid^$A20*low^$B20, round_to),v_start*hi^(F$15-SUM($A20:$B20))*mid^$A20*low^$B20)</f>
        <v>4.8</v>
      </c>
      <c r="G20" s="17">
        <f>IF(NOT(ISBLANK(round_to)),ROUND(v_start*hi^(G$15-SUM($A20:$B20))*mid^$A20*low^$B20, round_to),v_start*hi^(G$15-SUM($A20:$B20))*mid^$A20*low^$B20)</f>
        <v>5.9</v>
      </c>
      <c r="H20" s="17">
        <f>IF(NOT(ISBLANK(round_to)),ROUND(v_start*hi^(H$15-SUM($A20:$B20))*mid^$A20*low^$B20, round_to),v_start*hi^(H$15-SUM($A20:$B20))*mid^$A20*low^$B20)</f>
        <v>7.4</v>
      </c>
    </row>
    <row r="21" spans="1:8">
      <c r="A21" s="7">
        <v>0</v>
      </c>
      <c r="B21" s="7">
        <v>2</v>
      </c>
      <c r="D21" s="17"/>
      <c r="E21" s="17"/>
      <c r="F21" s="17">
        <f>IF(NOT(ISBLANK(round_to)),ROUND(v_start*hi^(F$15-SUM($A21:$B21))*mid^$A21*low^$B21, round_to),v_start*hi^(F$15-SUM($A21:$B21))*mid^$A21*low^$B21)</f>
        <v>3.8</v>
      </c>
      <c r="G21" s="17">
        <f>IF(NOT(ISBLANK(round_to)),ROUND(v_start*hi^(G$15-SUM($A21:$B21))*mid^$A21*low^$B21, round_to),v_start*hi^(G$15-SUM($A21:$B21))*mid^$A21*low^$B21)</f>
        <v>4.8</v>
      </c>
      <c r="H21" s="17">
        <f>IF(NOT(ISBLANK(round_to)),ROUND(v_start*hi^(H$15-SUM($A21:$B21))*mid^$A21*low^$B21, round_to),v_start*hi^(H$15-SUM($A21:$B21))*mid^$A21*low^$B21)</f>
        <v>5.9</v>
      </c>
    </row>
    <row r="22" spans="1:8">
      <c r="A22" s="7">
        <v>3</v>
      </c>
      <c r="B22" s="7">
        <v>0</v>
      </c>
      <c r="D22" s="17"/>
      <c r="E22" s="17"/>
      <c r="F22" s="17"/>
      <c r="G22" s="17">
        <f>IF(NOT(ISBLANK(round_to)),ROUND(v_start*hi^(G$15-SUM($A22:$B22))*mid^$A22*low^$B22, round_to),v_start*hi^(G$15-SUM($A22:$B22))*mid^$A22*low^$B22)</f>
        <v>5.9</v>
      </c>
      <c r="H22" s="17">
        <f>IF(NOT(ISBLANK(round_to)),ROUND(v_start*hi^(H$15-SUM($A22:$B22))*mid^$A22*low^$B22, round_to),v_start*hi^(H$15-SUM($A22:$B22))*mid^$A22*low^$B22)</f>
        <v>7.4</v>
      </c>
    </row>
    <row r="23" spans="1:8">
      <c r="A23" s="7">
        <v>2</v>
      </c>
      <c r="B23" s="7">
        <v>1</v>
      </c>
      <c r="D23" s="17"/>
      <c r="E23" s="17"/>
      <c r="F23" s="17"/>
      <c r="G23" s="17">
        <f>IF(NOT(ISBLANK(round_to)),ROUND(v_start*hi^(G$15-SUM($A23:$B23))*mid^$A23*low^$B23, round_to),v_start*hi^(G$15-SUM($A23:$B23))*mid^$A23*low^$B23)</f>
        <v>4.8</v>
      </c>
      <c r="H23" s="17">
        <f>IF(NOT(ISBLANK(round_to)),ROUND(v_start*hi^(H$15-SUM($A23:$B23))*mid^$A23*low^$B23, round_to),v_start*hi^(H$15-SUM($A23:$B23))*mid^$A23*low^$B23)</f>
        <v>5.9</v>
      </c>
    </row>
    <row r="24" spans="1:8">
      <c r="A24" s="7">
        <v>1</v>
      </c>
      <c r="B24" s="7">
        <v>2</v>
      </c>
      <c r="D24" s="17"/>
      <c r="E24" s="17"/>
      <c r="F24" s="17"/>
      <c r="G24" s="17">
        <f>IF(NOT(ISBLANK(round_to)),ROUND(v_start*hi^(G$15-SUM($A24:$B24))*mid^$A24*low^$B24, round_to),v_start*hi^(G$15-SUM($A24:$B24))*mid^$A24*low^$B24)</f>
        <v>3.8</v>
      </c>
      <c r="H24" s="17">
        <f>IF(NOT(ISBLANK(round_to)),ROUND(v_start*hi^(H$15-SUM($A24:$B24))*mid^$A24*low^$B24, round_to),v_start*hi^(H$15-SUM($A24:$B24))*mid^$A24*low^$B24)</f>
        <v>4.8</v>
      </c>
    </row>
    <row r="25" spans="1:8">
      <c r="A25" s="7">
        <v>0</v>
      </c>
      <c r="B25" s="7">
        <v>3</v>
      </c>
      <c r="D25" s="17"/>
      <c r="E25" s="17"/>
      <c r="F25" s="17"/>
      <c r="G25" s="17">
        <f>IF(NOT(ISBLANK(round_to)),ROUND(v_start*hi^(G$15-SUM($A25:$B25))*mid^$A25*low^$B25, round_to),v_start*hi^(G$15-SUM($A25:$B25))*mid^$A25*low^$B25)</f>
        <v>3</v>
      </c>
      <c r="H25" s="17">
        <f>IF(NOT(ISBLANK(round_to)),ROUND(v_start*hi^(H$15-SUM($A25:$B25))*mid^$A25*low^$B25, round_to),v_start*hi^(H$15-SUM($A25:$B25))*mid^$A25*low^$B25)</f>
        <v>3.8</v>
      </c>
    </row>
    <row r="26" spans="1:8">
      <c r="A26" s="7">
        <v>4</v>
      </c>
      <c r="B26" s="7">
        <v>0</v>
      </c>
      <c r="D26" s="17"/>
      <c r="E26" s="17"/>
      <c r="F26" s="17"/>
      <c r="G26" s="17"/>
      <c r="H26" s="17">
        <f>IF(NOT(ISBLANK(round_to)),ROUND(v_start*hi^(H$15-SUM($A26:$B26))*mid^$A26*low^$B26, round_to),v_start*hi^(H$15-SUM($A26:$B26))*mid^$A26*low^$B26)</f>
        <v>5.9</v>
      </c>
    </row>
    <row r="27" spans="1:8">
      <c r="A27" s="7">
        <v>3</v>
      </c>
      <c r="B27" s="7">
        <v>1</v>
      </c>
      <c r="D27" s="17"/>
      <c r="E27" s="17"/>
      <c r="F27" s="17"/>
      <c r="G27" s="17"/>
      <c r="H27" s="17">
        <f>IF(NOT(ISBLANK(round_to)),ROUND(v_start*hi^(H$15-SUM($A27:$B27))*mid^$A27*low^$B27, round_to),v_start*hi^(H$15-SUM($A27:$B27))*mid^$A27*low^$B27)</f>
        <v>4.8</v>
      </c>
    </row>
    <row r="28" spans="1:8" s="18" customFormat="1">
      <c r="A28" s="18">
        <v>2</v>
      </c>
      <c r="B28" s="7">
        <v>2</v>
      </c>
      <c r="H28" s="17">
        <f>IF(NOT(ISBLANK(round_to)),ROUND(v_start*hi^(H$15-SUM($A28:$B28))*mid^$A28*low^$B28, round_to),v_start*hi^(H$15-SUM($A28:$B28))*mid^$A28*low^$B28)</f>
        <v>3.8</v>
      </c>
    </row>
    <row r="29" spans="1:8" s="18" customFormat="1">
      <c r="A29" s="18">
        <v>1</v>
      </c>
      <c r="B29" s="18">
        <v>3</v>
      </c>
      <c r="H29" s="17">
        <f>IF(NOT(ISBLANK(round_to)),ROUND(v_start*hi^(H$15-SUM($A29:$B29))*mid^$A29*low^$B29, round_to),v_start*hi^(H$15-SUM($A29:$B29))*mid^$A29*low^$B29)</f>
        <v>3</v>
      </c>
    </row>
    <row r="30" spans="1:8" s="18" customFormat="1">
      <c r="A30" s="18">
        <v>0</v>
      </c>
      <c r="B30" s="18">
        <v>4</v>
      </c>
      <c r="H30" s="17">
        <f>IF(NOT(ISBLANK(round_to)),ROUND(v_start*hi^(H$15-SUM($A30:$B30))*mid^$A30*low^$B30, round_to),v_start*hi^(H$15-SUM($A30:$B30))*mid^$A30*low^$B30)</f>
        <v>2.4</v>
      </c>
    </row>
    <row r="31" spans="1:8" s="27" customFormat="1">
      <c r="C31" s="27" t="s">
        <v>34</v>
      </c>
    </row>
    <row r="32" spans="1:8" customFormat="1" ht="12"/>
    <row r="33" spans="1:8">
      <c r="C33" s="7" t="s">
        <v>84</v>
      </c>
      <c r="D33" s="17">
        <f>SUMPRODUCT(D16:D31,D54:D69)</f>
        <v>5.9</v>
      </c>
      <c r="E33" s="17">
        <f>SUMPRODUCT(E16:E31,E54:E69)</f>
        <v>6.1700000000000008</v>
      </c>
      <c r="F33" s="17">
        <f>SUMPRODUCT(F16:F31,F54:F69)</f>
        <v>6.4169999999999998</v>
      </c>
      <c r="G33" s="17">
        <f>SUMPRODUCT(G16:G31,G54:G69)</f>
        <v>6.6761000000000026</v>
      </c>
      <c r="H33" s="17">
        <f>SUMPRODUCT(H16:H31,H54:H69)</f>
        <v>6.9435100000000016</v>
      </c>
    </row>
    <row r="34" spans="1:8">
      <c r="C34" s="7" t="s">
        <v>85</v>
      </c>
      <c r="D34" s="17">
        <f>D33/$D$6</f>
        <v>0.9932659932659933</v>
      </c>
      <c r="E34" s="17">
        <f>E33/$D$6</f>
        <v>1.0387205387205387</v>
      </c>
      <c r="F34" s="17">
        <f>F33/$D$6</f>
        <v>1.0803030303030301</v>
      </c>
      <c r="G34" s="17">
        <f>G33/$D$6</f>
        <v>1.1239225589225592</v>
      </c>
      <c r="H34" s="17">
        <f>H33/$D$6</f>
        <v>1.1689410774410776</v>
      </c>
    </row>
    <row r="35" spans="1:8">
      <c r="C35" s="7" t="s">
        <v>100</v>
      </c>
      <c r="D35" s="17">
        <f>D33/$D$10</f>
        <v>0.91900311526479761</v>
      </c>
      <c r="E35" s="17">
        <f t="shared" ref="E35:H35" si="0">E33/$D$10</f>
        <v>0.96105919003115281</v>
      </c>
      <c r="F35" s="17">
        <f t="shared" si="0"/>
        <v>0.99953271028037383</v>
      </c>
      <c r="G35" s="17">
        <f t="shared" si="0"/>
        <v>1.0398909657320876</v>
      </c>
      <c r="H35" s="17">
        <f t="shared" si="0"/>
        <v>1.0815436137071655</v>
      </c>
    </row>
    <row r="37" spans="1:8">
      <c r="A37" s="7">
        <v>0</v>
      </c>
      <c r="B37" s="7">
        <v>0</v>
      </c>
      <c r="C37" s="3" t="s">
        <v>99</v>
      </c>
      <c r="D37" s="17">
        <f>D16/v_ref</f>
        <v>0.91900311526479761</v>
      </c>
      <c r="E37" s="17">
        <f>E16/v_ref</f>
        <v>1.1526479750778817</v>
      </c>
      <c r="F37" s="17">
        <f>F16/v_ref</f>
        <v>1.4485981308411215</v>
      </c>
      <c r="G37" s="17">
        <f>G16/v_ref</f>
        <v>1.8068535825545171</v>
      </c>
      <c r="H37" s="17">
        <f>H16/v_ref</f>
        <v>2.2585669781931466</v>
      </c>
    </row>
    <row r="38" spans="1:8">
      <c r="A38" s="7">
        <v>1</v>
      </c>
      <c r="B38" s="7">
        <v>0</v>
      </c>
      <c r="C38" s="3"/>
      <c r="D38" s="17"/>
      <c r="E38" s="17">
        <f>E17/v_ref</f>
        <v>0.91900311526479761</v>
      </c>
      <c r="F38" s="17">
        <f>F17/v_ref</f>
        <v>1.1526479750778817</v>
      </c>
      <c r="G38" s="17">
        <f>G17/v_ref</f>
        <v>1.4485981308411215</v>
      </c>
      <c r="H38" s="17">
        <f>H17/v_ref</f>
        <v>1.8068535825545171</v>
      </c>
    </row>
    <row r="39" spans="1:8">
      <c r="A39" s="7">
        <v>0</v>
      </c>
      <c r="B39" s="7">
        <v>1</v>
      </c>
      <c r="D39" s="17"/>
      <c r="E39" s="17">
        <f>E18/v_ref</f>
        <v>0.74766355140186913</v>
      </c>
      <c r="F39" s="17">
        <f>F18/v_ref</f>
        <v>0.91900311526479761</v>
      </c>
      <c r="G39" s="17">
        <f>G18/v_ref</f>
        <v>1.1526479750778817</v>
      </c>
      <c r="H39" s="17">
        <f>H18/v_ref</f>
        <v>1.4485981308411215</v>
      </c>
    </row>
    <row r="40" spans="1:8">
      <c r="A40" s="7">
        <v>2</v>
      </c>
      <c r="B40" s="7">
        <v>0</v>
      </c>
      <c r="D40" s="17"/>
      <c r="E40" s="17"/>
      <c r="F40" s="17">
        <f>F19/v_ref</f>
        <v>0.91900311526479761</v>
      </c>
      <c r="G40" s="17">
        <f>G19/v_ref</f>
        <v>1.1526479750778817</v>
      </c>
      <c r="H40" s="17">
        <f>H19/v_ref</f>
        <v>1.4485981308411215</v>
      </c>
    </row>
    <row r="41" spans="1:8">
      <c r="A41" s="7">
        <v>1</v>
      </c>
      <c r="B41" s="7">
        <v>1</v>
      </c>
      <c r="D41" s="17"/>
      <c r="E41" s="17"/>
      <c r="F41" s="17">
        <f>F20/v_ref</f>
        <v>0.74766355140186913</v>
      </c>
      <c r="G41" s="17">
        <f>G20/v_ref</f>
        <v>0.91900311526479761</v>
      </c>
      <c r="H41" s="17">
        <f>H20/v_ref</f>
        <v>1.1526479750778817</v>
      </c>
    </row>
    <row r="42" spans="1:8">
      <c r="A42" s="7">
        <v>0</v>
      </c>
      <c r="B42" s="7">
        <v>2</v>
      </c>
      <c r="D42" s="17"/>
      <c r="E42" s="17"/>
      <c r="F42" s="17">
        <f>F21/v_ref</f>
        <v>0.59190031152647971</v>
      </c>
      <c r="G42" s="17">
        <f>G21/v_ref</f>
        <v>0.74766355140186913</v>
      </c>
      <c r="H42" s="17">
        <f>H21/v_ref</f>
        <v>0.91900311526479761</v>
      </c>
    </row>
    <row r="43" spans="1:8">
      <c r="A43" s="7">
        <v>3</v>
      </c>
      <c r="B43" s="7">
        <v>0</v>
      </c>
      <c r="D43" s="17"/>
      <c r="E43" s="17"/>
      <c r="F43" s="17"/>
      <c r="G43" s="17">
        <f>G22/v_ref</f>
        <v>0.91900311526479761</v>
      </c>
      <c r="H43" s="17">
        <f>H22/v_ref</f>
        <v>1.1526479750778817</v>
      </c>
    </row>
    <row r="44" spans="1:8">
      <c r="A44" s="7">
        <v>2</v>
      </c>
      <c r="B44" s="7">
        <v>1</v>
      </c>
      <c r="D44" s="17"/>
      <c r="E44" s="17"/>
      <c r="F44" s="17"/>
      <c r="G44" s="17">
        <f>G23/v_ref</f>
        <v>0.74766355140186913</v>
      </c>
      <c r="H44" s="17">
        <f>H23/v_ref</f>
        <v>0.91900311526479761</v>
      </c>
    </row>
    <row r="45" spans="1:8">
      <c r="A45" s="7">
        <v>1</v>
      </c>
      <c r="B45" s="7">
        <v>2</v>
      </c>
      <c r="D45" s="17"/>
      <c r="E45" s="17"/>
      <c r="F45" s="17"/>
      <c r="G45" s="17">
        <f>G24/v_ref</f>
        <v>0.59190031152647971</v>
      </c>
      <c r="H45" s="17">
        <f>H24/v_ref</f>
        <v>0.74766355140186913</v>
      </c>
    </row>
    <row r="46" spans="1:8">
      <c r="A46" s="7">
        <v>0</v>
      </c>
      <c r="B46" s="7">
        <v>3</v>
      </c>
      <c r="D46" s="17"/>
      <c r="E46" s="17"/>
      <c r="F46" s="17"/>
      <c r="G46" s="17">
        <f>G25/v_ref</f>
        <v>0.46728971962616822</v>
      </c>
      <c r="H46" s="17">
        <f>H25/v_ref</f>
        <v>0.59190031152647971</v>
      </c>
    </row>
    <row r="47" spans="1:8">
      <c r="A47" s="7">
        <v>4</v>
      </c>
      <c r="B47" s="7">
        <v>0</v>
      </c>
      <c r="D47" s="17"/>
      <c r="E47" s="17"/>
      <c r="F47" s="17"/>
      <c r="G47" s="17"/>
      <c r="H47" s="17">
        <f>H26/v_ref</f>
        <v>0.91900311526479761</v>
      </c>
    </row>
    <row r="48" spans="1:8">
      <c r="A48" s="7">
        <v>3</v>
      </c>
      <c r="B48" s="7">
        <v>1</v>
      </c>
      <c r="D48" s="17"/>
      <c r="E48" s="17"/>
      <c r="F48" s="17"/>
      <c r="G48" s="17"/>
      <c r="H48" s="17">
        <f>H27/v_ref</f>
        <v>0.74766355140186913</v>
      </c>
    </row>
    <row r="49" spans="1:8" s="18" customFormat="1">
      <c r="A49" s="18">
        <v>2</v>
      </c>
      <c r="B49" s="7">
        <v>2</v>
      </c>
      <c r="H49" s="17">
        <f>H28/v_ref</f>
        <v>0.59190031152647971</v>
      </c>
    </row>
    <row r="50" spans="1:8" s="18" customFormat="1">
      <c r="A50" s="18">
        <v>1</v>
      </c>
      <c r="B50" s="18">
        <v>3</v>
      </c>
      <c r="H50" s="17">
        <f>H29/v_ref</f>
        <v>0.46728971962616822</v>
      </c>
    </row>
    <row r="51" spans="1:8" s="18" customFormat="1">
      <c r="A51" s="18">
        <v>0</v>
      </c>
      <c r="B51" s="18">
        <v>4</v>
      </c>
      <c r="H51" s="17">
        <f>H30/v_ref</f>
        <v>0.37383177570093457</v>
      </c>
    </row>
    <row r="52" spans="1:8" s="27" customFormat="1">
      <c r="C52" s="27" t="s">
        <v>34</v>
      </c>
    </row>
    <row r="53" spans="1:8" customFormat="1" ht="12"/>
    <row r="54" spans="1:8">
      <c r="A54" s="7">
        <f>A16</f>
        <v>0</v>
      </c>
      <c r="B54" s="7">
        <f>B16</f>
        <v>0</v>
      </c>
      <c r="C54" s="3" t="s">
        <v>12</v>
      </c>
      <c r="D54" s="17">
        <v>1</v>
      </c>
      <c r="E54" s="17">
        <f t="shared" ref="E54:H56" si="1">MULTINOMIAL(E$15-SUM($A54:$B54),$A54,$B54)*Prob_hi^(E$15-SUM($A54:$B54))*Prob_mid^$A54*Prob_low^$B54</f>
        <v>0.4</v>
      </c>
      <c r="F54" s="17">
        <f t="shared" si="1"/>
        <v>0.16000000000000003</v>
      </c>
      <c r="G54" s="17">
        <f t="shared" si="1"/>
        <v>6.4000000000000015E-2</v>
      </c>
      <c r="H54" s="17">
        <f t="shared" si="1"/>
        <v>2.5600000000000005E-2</v>
      </c>
    </row>
    <row r="55" spans="1:8">
      <c r="A55" s="7">
        <f>A17</f>
        <v>1</v>
      </c>
      <c r="B55" s="7">
        <f>B17</f>
        <v>0</v>
      </c>
      <c r="D55" s="17"/>
      <c r="E55" s="17">
        <f t="shared" si="1"/>
        <v>0.3</v>
      </c>
      <c r="F55" s="17">
        <f t="shared" si="1"/>
        <v>0.24</v>
      </c>
      <c r="G55" s="17">
        <f t="shared" si="1"/>
        <v>0.14400000000000004</v>
      </c>
      <c r="H55" s="17">
        <f t="shared" si="1"/>
        <v>7.6800000000000021E-2</v>
      </c>
    </row>
    <row r="56" spans="1:8">
      <c r="A56" s="7">
        <f>A18</f>
        <v>0</v>
      </c>
      <c r="B56" s="7">
        <f>B18</f>
        <v>1</v>
      </c>
      <c r="D56" s="17"/>
      <c r="E56" s="17">
        <f t="shared" si="1"/>
        <v>0.30000000000000004</v>
      </c>
      <c r="F56" s="17">
        <f t="shared" si="1"/>
        <v>0.24000000000000005</v>
      </c>
      <c r="G56" s="17">
        <f t="shared" si="1"/>
        <v>0.14400000000000007</v>
      </c>
      <c r="H56" s="17">
        <f t="shared" si="1"/>
        <v>7.6800000000000035E-2</v>
      </c>
    </row>
    <row r="57" spans="1:8">
      <c r="A57" s="7">
        <f>A19</f>
        <v>2</v>
      </c>
      <c r="B57" s="7">
        <f>B19</f>
        <v>0</v>
      </c>
      <c r="D57" s="17"/>
      <c r="E57" s="17"/>
      <c r="F57" s="17">
        <f t="shared" ref="F57:H59" si="2">MULTINOMIAL(F$15-SUM($A57:$B57),$A57,$B57)*Prob_hi^(F$15-SUM($A57:$B57))*Prob_mid^$A57*Prob_low^$B57</f>
        <v>0.09</v>
      </c>
      <c r="G57" s="17">
        <f t="shared" si="2"/>
        <v>0.10800000000000001</v>
      </c>
      <c r="H57" s="17">
        <f t="shared" si="2"/>
        <v>8.6399999999999977E-2</v>
      </c>
    </row>
    <row r="58" spans="1:8">
      <c r="A58" s="7">
        <f>A20</f>
        <v>1</v>
      </c>
      <c r="B58" s="7">
        <f>B20</f>
        <v>1</v>
      </c>
      <c r="D58" s="17"/>
      <c r="E58" s="17"/>
      <c r="F58" s="17">
        <f t="shared" si="2"/>
        <v>0.18000000000000002</v>
      </c>
      <c r="G58" s="17">
        <f t="shared" si="2"/>
        <v>0.21600000000000005</v>
      </c>
      <c r="H58" s="17">
        <f t="shared" si="2"/>
        <v>0.17280000000000004</v>
      </c>
    </row>
    <row r="59" spans="1:8">
      <c r="A59" s="7">
        <f>A21</f>
        <v>0</v>
      </c>
      <c r="B59" s="7">
        <f>B21</f>
        <v>2</v>
      </c>
      <c r="D59" s="17"/>
      <c r="E59" s="17"/>
      <c r="F59" s="17">
        <f t="shared" si="2"/>
        <v>9.0000000000000024E-2</v>
      </c>
      <c r="G59" s="17">
        <f t="shared" si="2"/>
        <v>0.10800000000000004</v>
      </c>
      <c r="H59" s="17">
        <f t="shared" si="2"/>
        <v>8.6400000000000005E-2</v>
      </c>
    </row>
    <row r="60" spans="1:8">
      <c r="A60" s="7">
        <f>A22</f>
        <v>3</v>
      </c>
      <c r="B60" s="7">
        <f>B22</f>
        <v>0</v>
      </c>
      <c r="E60" s="17"/>
      <c r="F60" s="17"/>
      <c r="G60" s="17">
        <f t="shared" ref="G60:H63" si="3">MULTINOMIAL(G$15-SUM($A60:$B60),$A60,$B60)*Prob_hi^(G$15-SUM($A60:$B60))*Prob_mid^$A60*Prob_low^$B60</f>
        <v>2.7E-2</v>
      </c>
      <c r="H60" s="17">
        <f t="shared" si="3"/>
        <v>4.3200000000000002E-2</v>
      </c>
    </row>
    <row r="61" spans="1:8">
      <c r="A61" s="7">
        <f>A23</f>
        <v>2</v>
      </c>
      <c r="B61" s="7">
        <f>B23</f>
        <v>1</v>
      </c>
      <c r="E61" s="17"/>
      <c r="F61" s="17"/>
      <c r="G61" s="17">
        <f t="shared" si="3"/>
        <v>8.1000000000000016E-2</v>
      </c>
      <c r="H61" s="17">
        <f t="shared" si="3"/>
        <v>0.12960000000000002</v>
      </c>
    </row>
    <row r="62" spans="1:8">
      <c r="A62" s="7">
        <f>A24</f>
        <v>1</v>
      </c>
      <c r="B62" s="7">
        <f>B24</f>
        <v>2</v>
      </c>
      <c r="E62" s="17"/>
      <c r="F62" s="17"/>
      <c r="G62" s="17">
        <f t="shared" si="3"/>
        <v>8.100000000000003E-2</v>
      </c>
      <c r="H62" s="17">
        <f t="shared" si="3"/>
        <v>0.12960000000000005</v>
      </c>
    </row>
    <row r="63" spans="1:8">
      <c r="A63" s="7">
        <f>A25</f>
        <v>0</v>
      </c>
      <c r="B63" s="7">
        <f>B25</f>
        <v>3</v>
      </c>
      <c r="E63" s="17"/>
      <c r="F63" s="17"/>
      <c r="G63" s="17">
        <f t="shared" si="3"/>
        <v>2.700000000000001E-2</v>
      </c>
      <c r="H63" s="17">
        <f t="shared" si="3"/>
        <v>4.3200000000000016E-2</v>
      </c>
    </row>
    <row r="64" spans="1:8">
      <c r="A64" s="7">
        <f>A26</f>
        <v>4</v>
      </c>
      <c r="B64" s="7">
        <f>B26</f>
        <v>0</v>
      </c>
      <c r="E64" s="17"/>
      <c r="F64" s="17"/>
      <c r="G64" s="17"/>
      <c r="H64" s="17">
        <f>MULTINOMIAL(H$15-SUM($A64:$B64),$A64,$B64)*Prob_hi^(H$15-SUM($A64:$B64))*Prob_mid^$A64*Prob_low^$B64</f>
        <v>8.0999999999999978E-3</v>
      </c>
    </row>
    <row r="65" spans="1:9">
      <c r="A65" s="7">
        <f>A27</f>
        <v>3</v>
      </c>
      <c r="B65" s="7">
        <f>B27</f>
        <v>1</v>
      </c>
      <c r="E65" s="17"/>
      <c r="F65" s="17"/>
      <c r="G65" s="17"/>
      <c r="H65" s="17">
        <f>MULTINOMIAL(H$15-SUM($A65:$B65),$A65,$B65)*Prob_hi^(H$15-SUM($A65:$B65))*Prob_mid^$A65*Prob_low^$B65</f>
        <v>3.2400000000000005E-2</v>
      </c>
    </row>
    <row r="66" spans="1:9">
      <c r="A66" s="7">
        <f>A28</f>
        <v>2</v>
      </c>
      <c r="B66" s="7">
        <f>B28</f>
        <v>2</v>
      </c>
      <c r="E66" s="18"/>
      <c r="F66" s="18"/>
      <c r="G66" s="18"/>
      <c r="H66" s="17">
        <f>MULTINOMIAL(H$15-SUM($A66:$B66),$A66,$B66)*Prob_hi^(H$15-SUM($A66:$B66))*Prob_mid^$A66*Prob_low^$B66</f>
        <v>4.8599999999999997E-2</v>
      </c>
    </row>
    <row r="67" spans="1:9">
      <c r="A67" s="7">
        <f>A29</f>
        <v>1</v>
      </c>
      <c r="B67" s="7">
        <f>B29</f>
        <v>3</v>
      </c>
      <c r="E67" s="18"/>
      <c r="F67" s="18"/>
      <c r="G67" s="18"/>
      <c r="H67" s="17">
        <f>MULTINOMIAL(H$15-SUM($A67:$B67),$A67,$B67)*Prob_hi^(H$15-SUM($A67:$B67))*Prob_mid^$A67*Prob_low^$B67</f>
        <v>3.2400000000000012E-2</v>
      </c>
    </row>
    <row r="68" spans="1:9">
      <c r="A68" s="7">
        <f>A30</f>
        <v>0</v>
      </c>
      <c r="B68" s="7">
        <f>B30</f>
        <v>4</v>
      </c>
      <c r="D68" s="21"/>
      <c r="E68" s="18"/>
      <c r="F68" s="18"/>
      <c r="G68" s="18"/>
      <c r="H68" s="17">
        <f>MULTINOMIAL(H$15-SUM($A68:$B68),$A68,$B68)*Prob_hi^(H$15-SUM($A68:$B68))*Prob_mid^$A68*Prob_low^$B68</f>
        <v>8.100000000000003E-3</v>
      </c>
    </row>
    <row r="69" spans="1:9" s="27" customFormat="1">
      <c r="C69" s="27" t="s">
        <v>34</v>
      </c>
    </row>
    <row r="70" spans="1:9">
      <c r="C70" s="7" t="s">
        <v>13</v>
      </c>
      <c r="D70" s="17">
        <f>SUM(D54:D69)</f>
        <v>1</v>
      </c>
      <c r="E70" s="17">
        <f>SUM(E54:E69)</f>
        <v>1</v>
      </c>
      <c r="F70" s="17">
        <f>SUM(F54:F69)</f>
        <v>1.0000000000000002</v>
      </c>
      <c r="G70" s="17">
        <f>SUM(G54:G69)</f>
        <v>1.0000000000000004</v>
      </c>
      <c r="H70" s="17">
        <f>SUM(H54:H69)</f>
        <v>1.0000000000000002</v>
      </c>
    </row>
    <row r="72" spans="1:9">
      <c r="C72" s="3" t="s">
        <v>35</v>
      </c>
      <c r="D72" s="17">
        <f>SUMIF(D$16:D$31,"&lt;="&amp;D16,D$54:D$69)</f>
        <v>1</v>
      </c>
      <c r="E72" s="17">
        <f>SUMIF(E$16:E$31,"&lt;="&amp;E16,E$54:E$69)</f>
        <v>1</v>
      </c>
      <c r="F72" s="17">
        <f>SUMIF(F$16:F$31,"&lt;="&amp;F16,F$54:F$69)</f>
        <v>1.0000000000000002</v>
      </c>
      <c r="G72" s="17">
        <f>SUMIF(G$16:G$31,"&lt;="&amp;G16,G$54:G$69)</f>
        <v>1.0000000000000004</v>
      </c>
      <c r="H72" s="17">
        <f>SUMIF(H$16:H$31,"&lt;="&amp;H16,H$54:H$69)</f>
        <v>1.0000000000000002</v>
      </c>
    </row>
    <row r="73" spans="1:9">
      <c r="E73" s="17">
        <f>SUMIF(E$16:E$31,"&lt;="&amp;E17,E$54:E$69)</f>
        <v>0.60000000000000009</v>
      </c>
      <c r="F73" s="17">
        <f>SUMIF(F$16:F$31,"&lt;="&amp;F17,F$54:F$69)</f>
        <v>0.84000000000000008</v>
      </c>
      <c r="G73" s="17">
        <f>SUMIF(G$16:G$31,"&lt;="&amp;G17,G$54:G$69)</f>
        <v>0.93600000000000039</v>
      </c>
      <c r="H73" s="17">
        <f>SUMIF(H$16:H$31,"&lt;="&amp;H17,H$54:H$69)</f>
        <v>0.97440000000000015</v>
      </c>
    </row>
    <row r="74" spans="1:9">
      <c r="E74" s="17">
        <f>SUMIF(E$16:E$31,"&lt;="&amp;E18,E$54:E$69)</f>
        <v>0.30000000000000004</v>
      </c>
      <c r="F74" s="17">
        <f>SUMIF(F$16:F$31,"&lt;="&amp;F18,F$54:F$69)</f>
        <v>0.60000000000000009</v>
      </c>
      <c r="G74" s="17">
        <f>SUMIF(G$16:G$31,"&lt;="&amp;G18,G$54:G$69)</f>
        <v>0.79200000000000048</v>
      </c>
      <c r="H74" s="17">
        <f>SUMIF(H$16:H$31,"&lt;="&amp;H18,H$54:H$69)</f>
        <v>0.89760000000000018</v>
      </c>
    </row>
    <row r="75" spans="1:9">
      <c r="F75" s="17">
        <f>SUMIF(F$16:F$31,"&lt;="&amp;F19,F$54:F$69)</f>
        <v>0.60000000000000009</v>
      </c>
      <c r="G75" s="17">
        <f>SUMIF(G$16:G$31,"&lt;="&amp;G19,G$54:G$69)</f>
        <v>0.79200000000000048</v>
      </c>
      <c r="H75" s="17">
        <f>SUMIF(H$16:H$31,"&lt;="&amp;H19,H$54:H$69)</f>
        <v>0.89760000000000018</v>
      </c>
    </row>
    <row r="76" spans="1:9">
      <c r="F76" s="17">
        <f>SUMIF(F$16:F$31,"&lt;="&amp;F20,F$54:F$69)</f>
        <v>0.27</v>
      </c>
      <c r="G76" s="17">
        <f>SUMIF(G$16:G$31,"&lt;="&amp;G20,G$54:G$69)</f>
        <v>0.54000000000000015</v>
      </c>
      <c r="H76" s="17">
        <f>SUMIF(H$16:H$31,"&lt;="&amp;H20,H$54:H$69)</f>
        <v>0.73440000000000005</v>
      </c>
    </row>
    <row r="77" spans="1:9">
      <c r="F77" s="17">
        <f>SUMIF(F$16:F$31,"&lt;="&amp;F21,F$54:F$69)</f>
        <v>9.0000000000000024E-2</v>
      </c>
      <c r="G77" s="17">
        <f>SUMIF(G$16:G$31,"&lt;="&amp;G21,G$54:G$69)</f>
        <v>0.2970000000000001</v>
      </c>
      <c r="H77" s="17">
        <f>SUMIF(H$16:H$31,"&lt;="&amp;H21,H$54:H$69)</f>
        <v>0.51840000000000008</v>
      </c>
    </row>
    <row r="78" spans="1:9">
      <c r="F78" s="17"/>
      <c r="G78" s="17">
        <f>SUMIF(G$16:G$31,"&lt;="&amp;G22,G$54:G$69)</f>
        <v>0.54000000000000015</v>
      </c>
      <c r="H78" s="17">
        <f>SUMIF(H$16:H$31,"&lt;="&amp;H22,H$54:H$69)</f>
        <v>0.73440000000000005</v>
      </c>
    </row>
    <row r="79" spans="1:9">
      <c r="G79" s="17">
        <f>SUMIF(G$16:G$31,"&lt;="&amp;G23,G$54:G$69)</f>
        <v>0.2970000000000001</v>
      </c>
      <c r="H79" s="17">
        <f>SUMIF(H$16:H$31,"&lt;="&amp;H23,H$54:H$69)</f>
        <v>0.51840000000000008</v>
      </c>
    </row>
    <row r="80" spans="1:9">
      <c r="G80" s="17">
        <f>SUMIF(G$16:G$31,"&lt;="&amp;G24,G$54:G$69)</f>
        <v>0.10800000000000004</v>
      </c>
      <c r="H80" s="17">
        <f>SUMIF(H$16:H$31,"&lt;="&amp;H24,H$54:H$69)</f>
        <v>0.29430000000000012</v>
      </c>
      <c r="I80" s="22"/>
    </row>
    <row r="81" spans="3:9">
      <c r="G81" s="17">
        <f>SUMIF(G$16:G$31,"&lt;="&amp;G25,G$54:G$69)</f>
        <v>2.700000000000001E-2</v>
      </c>
      <c r="H81" s="17">
        <f>SUMIF(H$16:H$31,"&lt;="&amp;H25,H$54:H$69)</f>
        <v>0.13230000000000003</v>
      </c>
      <c r="I81" s="22"/>
    </row>
    <row r="82" spans="3:9">
      <c r="H82" s="17">
        <f>SUMIF(H$16:H$31,"&lt;="&amp;H26,H$54:H$69)</f>
        <v>0.51840000000000008</v>
      </c>
      <c r="I82" s="22"/>
    </row>
    <row r="83" spans="3:9">
      <c r="H83" s="17">
        <f>SUMIF(H$16:H$31,"&lt;="&amp;H27,H$54:H$69)</f>
        <v>0.29430000000000012</v>
      </c>
      <c r="I83" s="22"/>
    </row>
    <row r="84" spans="3:9">
      <c r="H84" s="17">
        <f>SUMIF(H$16:H$31,"&lt;="&amp;H28,H$54:H$69)</f>
        <v>0.13230000000000003</v>
      </c>
      <c r="I84" s="22"/>
    </row>
    <row r="85" spans="3:9">
      <c r="H85" s="17">
        <f>SUMIF(H$16:H$31,"&lt;="&amp;H29,H$54:H$69)</f>
        <v>4.0500000000000015E-2</v>
      </c>
      <c r="I85" s="22"/>
    </row>
    <row r="86" spans="3:9">
      <c r="H86" s="17">
        <f>SUMIF(H$16:H$31,"&lt;="&amp;H30,H$54:H$69)</f>
        <v>8.100000000000003E-3</v>
      </c>
      <c r="I86" s="22"/>
    </row>
    <row r="87" spans="3:9" s="27" customFormat="1">
      <c r="C87" s="27" t="s">
        <v>34</v>
      </c>
    </row>
    <row r="88" spans="3:9">
      <c r="I88" s="22"/>
    </row>
    <row r="89" spans="3:9">
      <c r="C89" s="3" t="s">
        <v>37</v>
      </c>
      <c r="D89" s="17">
        <f>SUMIF(D$16:D$31,"&lt;"&amp;D16,D$54:D$69)</f>
        <v>0</v>
      </c>
      <c r="E89" s="17">
        <f>SUMIF(E$16:E$31,"&lt;"&amp;E16,E$54:E$69)</f>
        <v>0.60000000000000009</v>
      </c>
      <c r="F89" s="17">
        <f>SUMIF(F$16:F$31,"&lt;"&amp;F16,F$54:F$69)</f>
        <v>0.84000000000000008</v>
      </c>
      <c r="G89" s="17">
        <f>SUMIF(G$16:G$31,"&lt;"&amp;G16,G$54:G$69)</f>
        <v>0.93600000000000039</v>
      </c>
      <c r="H89" s="17">
        <f>SUMIF(H$16:H$31,"&lt;"&amp;H16,H$54:H$69)</f>
        <v>0.97440000000000015</v>
      </c>
      <c r="I89" s="22"/>
    </row>
    <row r="90" spans="3:9">
      <c r="E90" s="17">
        <f>SUMIF(E$16:E$31,"&lt;"&amp;E17,E$54:E$69)</f>
        <v>0.30000000000000004</v>
      </c>
      <c r="F90" s="17">
        <f>SUMIF(F$16:F$31,"&lt;"&amp;F17,F$54:F$69)</f>
        <v>0.60000000000000009</v>
      </c>
      <c r="G90" s="17">
        <f>SUMIF(G$16:G$31,"&lt;"&amp;G17,G$54:G$69)</f>
        <v>0.79200000000000048</v>
      </c>
      <c r="H90" s="17">
        <f>SUMIF(H$16:H$31,"&lt;"&amp;H17,H$54:H$69)</f>
        <v>0.89760000000000018</v>
      </c>
      <c r="I90" s="22"/>
    </row>
    <row r="91" spans="3:9">
      <c r="E91" s="17">
        <f>SUMIF(E$16:E$31,"&lt;"&amp;E18,E$54:E$69)</f>
        <v>0</v>
      </c>
      <c r="F91" s="17">
        <f>SUMIF(F$16:F$31,"&lt;"&amp;F18,F$54:F$69)</f>
        <v>0.27</v>
      </c>
      <c r="G91" s="17">
        <f>SUMIF(G$16:G$31,"&lt;"&amp;G18,G$54:G$69)</f>
        <v>0.54000000000000015</v>
      </c>
      <c r="H91" s="17">
        <f>SUMIF(H$16:H$31,"&lt;"&amp;H18,H$54:H$69)</f>
        <v>0.73440000000000005</v>
      </c>
    </row>
    <row r="92" spans="3:9">
      <c r="F92" s="17">
        <f>SUMIF(F$16:F$31,"&lt;"&amp;F19,F$54:F$69)</f>
        <v>0.27</v>
      </c>
      <c r="G92" s="17">
        <f>SUMIF(G$16:G$31,"&lt;"&amp;G19,G$54:G$69)</f>
        <v>0.54000000000000015</v>
      </c>
      <c r="H92" s="17">
        <f>SUMIF(H$16:H$31,"&lt;"&amp;H19,H$54:H$69)</f>
        <v>0.73440000000000005</v>
      </c>
    </row>
    <row r="93" spans="3:9">
      <c r="F93" s="17">
        <f>SUMIF(F$16:F$31,"&lt;"&amp;F20,F$54:F$69)</f>
        <v>9.0000000000000024E-2</v>
      </c>
      <c r="G93" s="17">
        <f>SUMIF(G$16:G$31,"&lt;"&amp;G20,G$54:G$69)</f>
        <v>0.2970000000000001</v>
      </c>
      <c r="H93" s="17">
        <f>SUMIF(H$16:H$31,"&lt;"&amp;H20,H$54:H$69)</f>
        <v>0.51840000000000008</v>
      </c>
    </row>
    <row r="94" spans="3:9">
      <c r="F94" s="17">
        <f>SUMIF(F$16:F$31,"&lt;"&amp;F21,F$54:F$69)</f>
        <v>0</v>
      </c>
      <c r="G94" s="17">
        <f>SUMIF(G$16:G$31,"&lt;"&amp;G21,G$54:G$69)</f>
        <v>0.10800000000000004</v>
      </c>
      <c r="H94" s="17">
        <f>SUMIF(H$16:H$31,"&lt;"&amp;H21,H$54:H$69)</f>
        <v>0.29430000000000012</v>
      </c>
    </row>
    <row r="95" spans="3:9">
      <c r="F95" s="17"/>
      <c r="G95" s="17">
        <f>SUMIF(G$16:G$31,"&lt;"&amp;G22,G$54:G$69)</f>
        <v>0.2970000000000001</v>
      </c>
      <c r="H95" s="17">
        <f>SUMIF(H$16:H$31,"&lt;"&amp;H22,H$54:H$69)</f>
        <v>0.51840000000000008</v>
      </c>
    </row>
    <row r="96" spans="3:9">
      <c r="G96" s="17">
        <f>SUMIF(G$16:G$31,"&lt;"&amp;G23,G$54:G$69)</f>
        <v>0.10800000000000004</v>
      </c>
      <c r="H96" s="17">
        <f>SUMIF(H$16:H$31,"&lt;"&amp;H23,H$54:H$69)</f>
        <v>0.29430000000000012</v>
      </c>
    </row>
    <row r="97" spans="3:8">
      <c r="G97" s="17">
        <f>SUMIF(G$16:G$31,"&lt;"&amp;G24,G$54:G$69)</f>
        <v>2.700000000000001E-2</v>
      </c>
      <c r="H97" s="17">
        <f>SUMIF(H$16:H$31,"&lt;"&amp;H24,H$54:H$69)</f>
        <v>0.13230000000000003</v>
      </c>
    </row>
    <row r="98" spans="3:8">
      <c r="G98" s="17">
        <f>SUMIF(G$16:G$31,"&lt;"&amp;G25,G$54:G$69)</f>
        <v>0</v>
      </c>
      <c r="H98" s="17">
        <f>SUMIF(H$16:H$31,"&lt;"&amp;H25,H$54:H$69)</f>
        <v>4.0500000000000015E-2</v>
      </c>
    </row>
    <row r="99" spans="3:8">
      <c r="H99" s="17">
        <f>SUMIF(H$16:H$31,"&lt;"&amp;H26,H$54:H$69)</f>
        <v>0.29430000000000012</v>
      </c>
    </row>
    <row r="100" spans="3:8">
      <c r="H100" s="17">
        <f>SUMIF(H$16:H$31,"&lt;"&amp;H27,H$54:H$69)</f>
        <v>0.13230000000000003</v>
      </c>
    </row>
    <row r="101" spans="3:8">
      <c r="H101" s="17">
        <f>SUMIF(H$16:H$31,"&lt;"&amp;H28,H$54:H$69)</f>
        <v>4.0500000000000015E-2</v>
      </c>
    </row>
    <row r="102" spans="3:8">
      <c r="H102" s="17">
        <f>SUMIF(H$16:H$31,"&lt;"&amp;H29,H$54:H$69)</f>
        <v>8.100000000000003E-3</v>
      </c>
    </row>
    <row r="103" spans="3:8">
      <c r="H103" s="17">
        <f>SUMIF(H$16:H$31,"&lt;"&amp;H30,H$54:H$69)</f>
        <v>0</v>
      </c>
    </row>
    <row r="104" spans="3:8">
      <c r="C104" s="27" t="s">
        <v>34</v>
      </c>
      <c r="D104" s="27"/>
      <c r="E104" s="27"/>
      <c r="F104" s="27"/>
      <c r="G104" s="27"/>
      <c r="H104" s="27"/>
    </row>
    <row r="106" spans="3:8">
      <c r="C106" s="3" t="s">
        <v>38</v>
      </c>
      <c r="D106" s="17">
        <f>D72-D89</f>
        <v>1</v>
      </c>
      <c r="E106" s="17">
        <f>E72-E89</f>
        <v>0.39999999999999991</v>
      </c>
      <c r="F106" s="17">
        <f>F72-F89</f>
        <v>0.16000000000000014</v>
      </c>
      <c r="G106" s="17">
        <f>G72-G89</f>
        <v>6.4000000000000057E-2</v>
      </c>
      <c r="H106" s="17">
        <f>H72-H89</f>
        <v>2.5600000000000067E-2</v>
      </c>
    </row>
    <row r="107" spans="3:8">
      <c r="E107" s="17">
        <f t="shared" ref="E107:H115" si="4">E73-E90</f>
        <v>0.30000000000000004</v>
      </c>
      <c r="F107" s="17">
        <f t="shared" si="4"/>
        <v>0.24</v>
      </c>
      <c r="G107" s="17">
        <f t="shared" si="4"/>
        <v>0.14399999999999991</v>
      </c>
      <c r="H107" s="17">
        <f t="shared" si="4"/>
        <v>7.6799999999999979E-2</v>
      </c>
    </row>
    <row r="108" spans="3:8">
      <c r="E108" s="17">
        <f t="shared" si="4"/>
        <v>0.30000000000000004</v>
      </c>
      <c r="F108" s="17">
        <f t="shared" si="4"/>
        <v>0.33000000000000007</v>
      </c>
      <c r="G108" s="17">
        <f t="shared" si="4"/>
        <v>0.25200000000000033</v>
      </c>
      <c r="H108" s="17">
        <f t="shared" si="4"/>
        <v>0.16320000000000012</v>
      </c>
    </row>
    <row r="109" spans="3:8">
      <c r="F109" s="17">
        <f t="shared" si="4"/>
        <v>0.33000000000000007</v>
      </c>
      <c r="G109" s="17">
        <f t="shared" si="4"/>
        <v>0.25200000000000033</v>
      </c>
      <c r="H109" s="17">
        <f t="shared" si="4"/>
        <v>0.16320000000000012</v>
      </c>
    </row>
    <row r="110" spans="3:8">
      <c r="F110" s="17">
        <f t="shared" si="4"/>
        <v>0.18</v>
      </c>
      <c r="G110" s="17">
        <f t="shared" si="4"/>
        <v>0.24300000000000005</v>
      </c>
      <c r="H110" s="17">
        <f t="shared" si="4"/>
        <v>0.21599999999999997</v>
      </c>
    </row>
    <row r="111" spans="3:8">
      <c r="F111" s="17">
        <f t="shared" si="4"/>
        <v>9.0000000000000024E-2</v>
      </c>
      <c r="G111" s="17">
        <f t="shared" si="4"/>
        <v>0.18900000000000006</v>
      </c>
      <c r="H111" s="17">
        <f t="shared" si="4"/>
        <v>0.22409999999999997</v>
      </c>
    </row>
    <row r="112" spans="3:8">
      <c r="F112" s="17"/>
      <c r="G112" s="17">
        <f t="shared" si="4"/>
        <v>0.24300000000000005</v>
      </c>
      <c r="H112" s="17">
        <f t="shared" si="4"/>
        <v>0.21599999999999997</v>
      </c>
    </row>
    <row r="113" spans="3:8">
      <c r="G113" s="17">
        <f t="shared" si="4"/>
        <v>0.18900000000000006</v>
      </c>
      <c r="H113" s="17">
        <f t="shared" si="4"/>
        <v>0.22409999999999997</v>
      </c>
    </row>
    <row r="114" spans="3:8">
      <c r="G114" s="17">
        <f t="shared" si="4"/>
        <v>8.100000000000003E-2</v>
      </c>
      <c r="H114" s="17">
        <f t="shared" si="4"/>
        <v>0.16200000000000009</v>
      </c>
    </row>
    <row r="115" spans="3:8">
      <c r="G115" s="17">
        <f t="shared" si="4"/>
        <v>2.700000000000001E-2</v>
      </c>
      <c r="H115" s="17">
        <f t="shared" si="4"/>
        <v>9.180000000000002E-2</v>
      </c>
    </row>
    <row r="116" spans="3:8">
      <c r="H116" s="17">
        <f>H82-H99</f>
        <v>0.22409999999999997</v>
      </c>
    </row>
    <row r="117" spans="3:8">
      <c r="H117" s="17">
        <f>H83-H100</f>
        <v>0.16200000000000009</v>
      </c>
    </row>
    <row r="118" spans="3:8">
      <c r="H118" s="17">
        <f>H84-H101</f>
        <v>9.180000000000002E-2</v>
      </c>
    </row>
    <row r="119" spans="3:8">
      <c r="H119" s="17">
        <f>H85-H102</f>
        <v>3.2400000000000012E-2</v>
      </c>
    </row>
    <row r="120" spans="3:8">
      <c r="H120" s="17">
        <f>H86-H103</f>
        <v>8.100000000000003E-3</v>
      </c>
    </row>
    <row r="121" spans="3:8">
      <c r="C121" s="27" t="s">
        <v>34</v>
      </c>
      <c r="D121" s="27"/>
      <c r="E121" s="27"/>
      <c r="F121" s="27"/>
      <c r="G121" s="27"/>
      <c r="H121" s="27"/>
    </row>
  </sheetData>
  <conditionalFormatting sqref="G8">
    <cfRule type="cellIs" dxfId="6" priority="3" operator="lessThan">
      <formula>0</formula>
    </cfRule>
  </conditionalFormatting>
  <conditionalFormatting sqref="D37:H122 D15:H32">
    <cfRule type="expression" dxfId="5" priority="2">
      <formula>D$15&gt;$D$7</formula>
    </cfRule>
  </conditionalFormatting>
  <conditionalFormatting sqref="H10">
    <cfRule type="cellIs" dxfId="4" priority="1" operator="notBetween">
      <formula>$G$9</formula>
      <formula>$G$11</formula>
    </cfRule>
  </conditionalFormatting>
  <pageMargins left="0.75" right="0.75" top="1" bottom="1" header="0.5" footer="0.5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pane ySplit="10" topLeftCell="A11" activePane="bottomLeft" state="frozenSplit"/>
      <selection pane="bottomLeft" activeCell="B7" sqref="B7"/>
    </sheetView>
  </sheetViews>
  <sheetFormatPr baseColWidth="10" defaultColWidth="8.83203125" defaultRowHeight="15" x14ac:dyDescent="0"/>
  <cols>
    <col min="1" max="1" width="17.33203125" style="7" customWidth="1"/>
    <col min="2" max="2" width="9.5" style="7" bestFit="1" customWidth="1"/>
    <col min="3" max="4" width="9.83203125" style="7" bestFit="1" customWidth="1"/>
    <col min="5" max="5" width="10.33203125" style="7" customWidth="1"/>
    <col min="6" max="6" width="10.1640625" style="7" customWidth="1"/>
    <col min="7" max="7" width="10.5" style="7" bestFit="1" customWidth="1"/>
    <col min="8" max="8" width="11.1640625" style="7" customWidth="1"/>
    <col min="9" max="9" width="9.83203125" style="7" bestFit="1" customWidth="1"/>
    <col min="10" max="10" width="11" style="7" bestFit="1" customWidth="1"/>
    <col min="11" max="13" width="10.5" style="7" bestFit="1" customWidth="1"/>
    <col min="14" max="14" width="11" style="7" bestFit="1" customWidth="1"/>
    <col min="15" max="16384" width="8.83203125" style="7"/>
  </cols>
  <sheetData>
    <row r="1" spans="1:14" ht="18">
      <c r="A1" s="6" t="s">
        <v>23</v>
      </c>
    </row>
    <row r="2" spans="1:14">
      <c r="A2" s="7" t="s">
        <v>22</v>
      </c>
    </row>
    <row r="3" spans="1:14">
      <c r="A3" s="7" t="s">
        <v>17</v>
      </c>
    </row>
    <row r="6" spans="1:14">
      <c r="A6" s="7" t="s">
        <v>20</v>
      </c>
      <c r="B6" s="4">
        <v>2000</v>
      </c>
      <c r="E6" s="8"/>
      <c r="F6" s="9" t="s">
        <v>21</v>
      </c>
      <c r="G6" s="4">
        <v>3</v>
      </c>
      <c r="H6" s="10"/>
      <c r="I6" s="10"/>
      <c r="J6" s="10"/>
      <c r="K6" s="10"/>
      <c r="L6" s="10"/>
      <c r="M6" s="10"/>
      <c r="N6" s="10"/>
    </row>
    <row r="7" spans="1:14">
      <c r="A7" s="10" t="s">
        <v>14</v>
      </c>
      <c r="B7" s="4">
        <v>0.5</v>
      </c>
      <c r="C7" s="10" t="s">
        <v>15</v>
      </c>
      <c r="D7" s="5">
        <f>1-Prob_up</f>
        <v>0.5</v>
      </c>
      <c r="E7" s="8"/>
      <c r="F7" s="11" t="s">
        <v>18</v>
      </c>
      <c r="G7" s="4">
        <v>2000</v>
      </c>
      <c r="H7" s="12"/>
      <c r="I7" s="10"/>
      <c r="J7" s="10"/>
      <c r="K7" s="10"/>
      <c r="L7" s="12"/>
      <c r="M7" s="13"/>
      <c r="N7" s="10"/>
    </row>
    <row r="8" spans="1:14">
      <c r="A8" s="7" t="s">
        <v>16</v>
      </c>
      <c r="B8" s="5">
        <f>POWER(v_max/v_start, 1/n_periods)</f>
        <v>1</v>
      </c>
      <c r="E8" s="8"/>
      <c r="F8" s="8" t="s">
        <v>19</v>
      </c>
      <c r="G8" s="4">
        <v>1000</v>
      </c>
      <c r="H8" s="12"/>
      <c r="I8" s="14"/>
      <c r="J8" s="10"/>
      <c r="K8" s="10"/>
      <c r="L8" s="12"/>
      <c r="M8" s="13"/>
      <c r="N8" s="13"/>
    </row>
    <row r="9" spans="1:14">
      <c r="A9" s="7" t="s">
        <v>0</v>
      </c>
      <c r="B9" s="5">
        <f>POWER(v_min/v_start, 1/n_periods)</f>
        <v>0.79370052598409979</v>
      </c>
      <c r="I9" s="15"/>
    </row>
    <row r="10" spans="1:14"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 t="s">
        <v>7</v>
      </c>
      <c r="I10" s="16" t="s">
        <v>8</v>
      </c>
      <c r="J10" s="16" t="s">
        <v>9</v>
      </c>
      <c r="K10" s="16" t="s">
        <v>10</v>
      </c>
      <c r="L10" s="16" t="s">
        <v>11</v>
      </c>
    </row>
    <row r="11" spans="1:14">
      <c r="A11" s="3" t="s">
        <v>25</v>
      </c>
      <c r="B11" s="17">
        <f>B6</f>
        <v>2000</v>
      </c>
      <c r="C11" s="17">
        <f>B11*up</f>
        <v>2000</v>
      </c>
      <c r="D11" s="17">
        <f>C11*up</f>
        <v>2000</v>
      </c>
      <c r="E11" s="17">
        <f t="shared" ref="E11:L11" si="0">D11*$B8</f>
        <v>2000</v>
      </c>
      <c r="F11" s="17">
        <f t="shared" si="0"/>
        <v>2000</v>
      </c>
      <c r="G11" s="17">
        <f t="shared" si="0"/>
        <v>2000</v>
      </c>
      <c r="H11" s="17">
        <f t="shared" si="0"/>
        <v>2000</v>
      </c>
      <c r="I11" s="17">
        <f t="shared" si="0"/>
        <v>2000</v>
      </c>
      <c r="J11" s="17">
        <f t="shared" si="0"/>
        <v>2000</v>
      </c>
      <c r="K11" s="17">
        <f t="shared" si="0"/>
        <v>2000</v>
      </c>
      <c r="L11" s="17">
        <f t="shared" si="0"/>
        <v>2000</v>
      </c>
    </row>
    <row r="12" spans="1:14">
      <c r="B12" s="17"/>
      <c r="C12" s="17">
        <f>B$11*down</f>
        <v>1587.4010519681997</v>
      </c>
      <c r="D12" s="17">
        <f>C$11*down</f>
        <v>1587.4010519681997</v>
      </c>
      <c r="E12" s="17">
        <f t="shared" ref="E12:L12" si="1">D$11*$B9</f>
        <v>1587.4010519681997</v>
      </c>
      <c r="F12" s="17">
        <f t="shared" si="1"/>
        <v>1587.4010519681997</v>
      </c>
      <c r="G12" s="17">
        <f t="shared" si="1"/>
        <v>1587.4010519681997</v>
      </c>
      <c r="H12" s="17">
        <f t="shared" si="1"/>
        <v>1587.4010519681997</v>
      </c>
      <c r="I12" s="17">
        <f t="shared" si="1"/>
        <v>1587.4010519681997</v>
      </c>
      <c r="J12" s="17">
        <f t="shared" si="1"/>
        <v>1587.4010519681997</v>
      </c>
      <c r="K12" s="17">
        <f t="shared" si="1"/>
        <v>1587.4010519681997</v>
      </c>
      <c r="L12" s="17">
        <f t="shared" si="1"/>
        <v>1587.4010519681997</v>
      </c>
    </row>
    <row r="13" spans="1:14">
      <c r="B13" s="17"/>
      <c r="C13" s="17"/>
      <c r="D13" s="17">
        <f>C12*$B$9</f>
        <v>1259.9210498948735</v>
      </c>
      <c r="E13" s="17">
        <f t="shared" ref="E13:L13" si="2">D$12*$B9</f>
        <v>1259.9210498948735</v>
      </c>
      <c r="F13" s="17">
        <f t="shared" si="2"/>
        <v>1259.9210498948735</v>
      </c>
      <c r="G13" s="17">
        <f t="shared" si="2"/>
        <v>1259.9210498948735</v>
      </c>
      <c r="H13" s="17">
        <f t="shared" si="2"/>
        <v>1259.9210498948735</v>
      </c>
      <c r="I13" s="17">
        <f t="shared" si="2"/>
        <v>1259.9210498948735</v>
      </c>
      <c r="J13" s="17">
        <f t="shared" si="2"/>
        <v>1259.9210498948735</v>
      </c>
      <c r="K13" s="17">
        <f t="shared" si="2"/>
        <v>1259.9210498948735</v>
      </c>
      <c r="L13" s="17">
        <f t="shared" si="2"/>
        <v>1259.9210498948735</v>
      </c>
    </row>
    <row r="14" spans="1:14">
      <c r="B14" s="17"/>
      <c r="C14" s="17"/>
      <c r="D14" s="17"/>
      <c r="E14" s="17">
        <f t="shared" ref="E14:L14" si="3">D13*$B$9</f>
        <v>1000.0000000000003</v>
      </c>
      <c r="F14" s="17">
        <f t="shared" si="3"/>
        <v>1000.0000000000003</v>
      </c>
      <c r="G14" s="17">
        <f t="shared" si="3"/>
        <v>1000.0000000000003</v>
      </c>
      <c r="H14" s="17">
        <f t="shared" si="3"/>
        <v>1000.0000000000003</v>
      </c>
      <c r="I14" s="17">
        <f t="shared" si="3"/>
        <v>1000.0000000000003</v>
      </c>
      <c r="J14" s="17">
        <f t="shared" si="3"/>
        <v>1000.0000000000003</v>
      </c>
      <c r="K14" s="17">
        <f t="shared" si="3"/>
        <v>1000.0000000000003</v>
      </c>
      <c r="L14" s="17">
        <f t="shared" si="3"/>
        <v>1000.0000000000003</v>
      </c>
    </row>
    <row r="15" spans="1:14">
      <c r="B15" s="17"/>
      <c r="C15" s="17"/>
      <c r="D15" s="17"/>
      <c r="E15" s="17"/>
      <c r="F15" s="17">
        <f t="shared" ref="F15:L15" si="4">E14*$B$9</f>
        <v>793.70052598410007</v>
      </c>
      <c r="G15" s="17">
        <f t="shared" si="4"/>
        <v>793.70052598410007</v>
      </c>
      <c r="H15" s="17">
        <f t="shared" si="4"/>
        <v>793.70052598410007</v>
      </c>
      <c r="I15" s="17">
        <f t="shared" si="4"/>
        <v>793.70052598410007</v>
      </c>
      <c r="J15" s="17">
        <f t="shared" si="4"/>
        <v>793.70052598410007</v>
      </c>
      <c r="K15" s="17">
        <f t="shared" si="4"/>
        <v>793.70052598410007</v>
      </c>
      <c r="L15" s="17">
        <f t="shared" si="4"/>
        <v>793.70052598410007</v>
      </c>
    </row>
    <row r="16" spans="1:14">
      <c r="B16" s="17"/>
      <c r="C16" s="17"/>
      <c r="D16" s="17"/>
      <c r="E16" s="17"/>
      <c r="F16" s="17"/>
      <c r="G16" s="17">
        <f t="shared" ref="G16:L16" si="5">F15*$B$9</f>
        <v>629.96052494743685</v>
      </c>
      <c r="H16" s="17">
        <f t="shared" si="5"/>
        <v>629.96052494743685</v>
      </c>
      <c r="I16" s="17">
        <f t="shared" si="5"/>
        <v>629.96052494743685</v>
      </c>
      <c r="J16" s="17">
        <f t="shared" si="5"/>
        <v>629.96052494743685</v>
      </c>
      <c r="K16" s="17">
        <f t="shared" si="5"/>
        <v>629.96052494743685</v>
      </c>
      <c r="L16" s="17">
        <f t="shared" si="5"/>
        <v>629.96052494743685</v>
      </c>
    </row>
    <row r="17" spans="1:12">
      <c r="B17" s="17"/>
      <c r="C17" s="17"/>
      <c r="D17" s="17"/>
      <c r="E17" s="17"/>
      <c r="F17" s="17"/>
      <c r="G17" s="17"/>
      <c r="H17" s="17">
        <f>G16*$B$9</f>
        <v>500.00000000000023</v>
      </c>
      <c r="I17" s="17">
        <f>H16*$B$9</f>
        <v>500.00000000000023</v>
      </c>
      <c r="J17" s="17">
        <f>I16*$B$9</f>
        <v>500.00000000000023</v>
      </c>
      <c r="K17" s="17">
        <f>J16*$B$9</f>
        <v>500.00000000000023</v>
      </c>
      <c r="L17" s="17">
        <f>K16*$B$9</f>
        <v>500.00000000000023</v>
      </c>
    </row>
    <row r="18" spans="1:12">
      <c r="B18" s="17"/>
      <c r="C18" s="17"/>
      <c r="D18" s="17"/>
      <c r="E18" s="17"/>
      <c r="F18" s="17"/>
      <c r="G18" s="17"/>
      <c r="H18" s="17"/>
      <c r="I18" s="17">
        <f>H17*$B$9</f>
        <v>396.85026299205009</v>
      </c>
      <c r="J18" s="17">
        <f>I17*$B$9</f>
        <v>396.85026299205009</v>
      </c>
      <c r="K18" s="17">
        <f>J17*$B$9</f>
        <v>396.85026299205009</v>
      </c>
      <c r="L18" s="17">
        <f>K17*$B$9</f>
        <v>396.85026299205009</v>
      </c>
    </row>
    <row r="19" spans="1:12">
      <c r="B19" s="17"/>
      <c r="C19" s="17"/>
      <c r="D19" s="17"/>
      <c r="E19" s="17"/>
      <c r="F19" s="17"/>
      <c r="G19" s="17"/>
      <c r="H19" s="17"/>
      <c r="I19" s="17"/>
      <c r="J19" s="17">
        <f>I18*$B$9</f>
        <v>314.98026247371848</v>
      </c>
      <c r="K19" s="17">
        <f>J18*$B$9</f>
        <v>314.98026247371848</v>
      </c>
      <c r="L19" s="17">
        <f>K18*$B$9</f>
        <v>314.98026247371848</v>
      </c>
    </row>
    <row r="20" spans="1:12">
      <c r="B20" s="17"/>
      <c r="C20" s="17"/>
      <c r="D20" s="17"/>
      <c r="E20" s="17"/>
      <c r="F20" s="17"/>
      <c r="G20" s="17"/>
      <c r="H20" s="17"/>
      <c r="I20" s="17"/>
      <c r="J20" s="17"/>
      <c r="K20" s="17">
        <f>J19*$B$9</f>
        <v>250.00000000000017</v>
      </c>
      <c r="L20" s="17">
        <f>K19*$B$9</f>
        <v>250.00000000000017</v>
      </c>
    </row>
    <row r="21" spans="1:12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K20*$B$9</f>
        <v>198.42513149602507</v>
      </c>
    </row>
    <row r="22" spans="1:12" s="18" customFormat="1"/>
    <row r="23" spans="1:12" s="18" customFormat="1"/>
    <row r="24" spans="1:12">
      <c r="A24" s="3" t="s">
        <v>12</v>
      </c>
      <c r="B24" s="17">
        <v>1</v>
      </c>
      <c r="C24" s="17">
        <f t="shared" ref="C24:L24" si="6">B24*Prob_up</f>
        <v>0.5</v>
      </c>
      <c r="D24" s="17">
        <f t="shared" si="6"/>
        <v>0.25</v>
      </c>
      <c r="E24" s="19">
        <f t="shared" si="6"/>
        <v>0.125</v>
      </c>
      <c r="F24" s="19">
        <f t="shared" si="6"/>
        <v>6.25E-2</v>
      </c>
      <c r="G24" s="19">
        <f t="shared" si="6"/>
        <v>3.125E-2</v>
      </c>
      <c r="H24" s="19">
        <f t="shared" si="6"/>
        <v>1.5625E-2</v>
      </c>
      <c r="I24" s="19">
        <f t="shared" si="6"/>
        <v>7.8125E-3</v>
      </c>
      <c r="J24" s="19">
        <f t="shared" si="6"/>
        <v>3.90625E-3</v>
      </c>
      <c r="K24" s="19">
        <f t="shared" si="6"/>
        <v>1.953125E-3</v>
      </c>
      <c r="L24" s="19">
        <f t="shared" si="6"/>
        <v>9.765625E-4</v>
      </c>
    </row>
    <row r="25" spans="1:12">
      <c r="B25" s="17"/>
      <c r="C25" s="17">
        <f>B24*Prob_down</f>
        <v>0.5</v>
      </c>
      <c r="D25" s="17">
        <f t="shared" ref="D25:L25" si="7">C24*Prob_down+C25*Prob_up</f>
        <v>0.5</v>
      </c>
      <c r="E25" s="19">
        <f t="shared" si="7"/>
        <v>0.375</v>
      </c>
      <c r="F25" s="19">
        <f t="shared" si="7"/>
        <v>0.25</v>
      </c>
      <c r="G25" s="19">
        <f t="shared" si="7"/>
        <v>0.15625</v>
      </c>
      <c r="H25" s="19">
        <f t="shared" si="7"/>
        <v>9.375E-2</v>
      </c>
      <c r="I25" s="19">
        <f t="shared" si="7"/>
        <v>5.46875E-2</v>
      </c>
      <c r="J25" s="19">
        <f t="shared" si="7"/>
        <v>3.125E-2</v>
      </c>
      <c r="K25" s="19">
        <f t="shared" si="7"/>
        <v>1.7578125E-2</v>
      </c>
      <c r="L25" s="19">
        <f t="shared" si="7"/>
        <v>9.765625E-3</v>
      </c>
    </row>
    <row r="26" spans="1:12">
      <c r="B26" s="17"/>
      <c r="C26" s="17"/>
      <c r="D26" s="17">
        <f>C25*Prob_down</f>
        <v>0.25</v>
      </c>
      <c r="E26" s="19">
        <f t="shared" ref="E26:L26" si="8">D25*Prob_down+D26*Prob_up</f>
        <v>0.375</v>
      </c>
      <c r="F26" s="19">
        <f t="shared" si="8"/>
        <v>0.375</v>
      </c>
      <c r="G26" s="19">
        <f t="shared" si="8"/>
        <v>0.3125</v>
      </c>
      <c r="H26" s="19">
        <f t="shared" si="8"/>
        <v>0.234375</v>
      </c>
      <c r="I26" s="19">
        <f t="shared" si="8"/>
        <v>0.1640625</v>
      </c>
      <c r="J26" s="19">
        <f t="shared" si="8"/>
        <v>0.109375</v>
      </c>
      <c r="K26" s="19">
        <f t="shared" si="8"/>
        <v>7.03125E-2</v>
      </c>
      <c r="L26" s="19">
        <f t="shared" si="8"/>
        <v>4.39453125E-2</v>
      </c>
    </row>
    <row r="27" spans="1:12">
      <c r="B27" s="17"/>
      <c r="C27" s="17"/>
      <c r="D27" s="17"/>
      <c r="E27" s="19">
        <f>(D26+D27)*Prob_down</f>
        <v>0.125</v>
      </c>
      <c r="F27" s="19">
        <f t="shared" ref="F27:L28" si="9">E26*Prob_down+E27*Prob_up</f>
        <v>0.25</v>
      </c>
      <c r="G27" s="19">
        <f t="shared" si="9"/>
        <v>0.3125</v>
      </c>
      <c r="H27" s="19">
        <f t="shared" si="9"/>
        <v>0.3125</v>
      </c>
      <c r="I27" s="19">
        <f t="shared" si="9"/>
        <v>0.2734375</v>
      </c>
      <c r="J27" s="19">
        <f t="shared" si="9"/>
        <v>0.21875</v>
      </c>
      <c r="K27" s="19">
        <f t="shared" si="9"/>
        <v>0.1640625</v>
      </c>
      <c r="L27" s="19">
        <f t="shared" si="9"/>
        <v>0.1171875</v>
      </c>
    </row>
    <row r="28" spans="1:12">
      <c r="B28" s="17"/>
      <c r="C28" s="17"/>
      <c r="D28" s="17"/>
      <c r="E28" s="17"/>
      <c r="F28" s="19">
        <f t="shared" si="9"/>
        <v>6.25E-2</v>
      </c>
      <c r="G28" s="19">
        <f t="shared" si="9"/>
        <v>0.15625</v>
      </c>
      <c r="H28" s="19">
        <f t="shared" si="9"/>
        <v>0.234375</v>
      </c>
      <c r="I28" s="19">
        <f t="shared" si="9"/>
        <v>0.2734375</v>
      </c>
      <c r="J28" s="19">
        <f t="shared" si="9"/>
        <v>0.2734375</v>
      </c>
      <c r="K28" s="19">
        <f t="shared" si="9"/>
        <v>0.24609375</v>
      </c>
      <c r="L28" s="19">
        <f t="shared" si="9"/>
        <v>0.205078125</v>
      </c>
    </row>
    <row r="29" spans="1:12">
      <c r="B29" s="17"/>
      <c r="C29" s="17"/>
      <c r="D29" s="17"/>
      <c r="E29" s="17"/>
      <c r="F29" s="19"/>
      <c r="G29" s="19">
        <f t="shared" ref="G29:L29" si="10">F28*Prob_down+F29*Prob_up</f>
        <v>3.125E-2</v>
      </c>
      <c r="H29" s="19">
        <f t="shared" si="10"/>
        <v>9.375E-2</v>
      </c>
      <c r="I29" s="19">
        <f t="shared" si="10"/>
        <v>0.1640625</v>
      </c>
      <c r="J29" s="19">
        <f t="shared" si="10"/>
        <v>0.21875</v>
      </c>
      <c r="K29" s="19">
        <f t="shared" si="10"/>
        <v>0.24609375</v>
      </c>
      <c r="L29" s="19">
        <f t="shared" si="10"/>
        <v>0.24609375</v>
      </c>
    </row>
    <row r="30" spans="1:12">
      <c r="F30" s="19"/>
      <c r="G30" s="19"/>
      <c r="H30" s="19">
        <f>G29*Prob_down+G30*Prob_up</f>
        <v>1.5625E-2</v>
      </c>
      <c r="I30" s="19">
        <f>H29*Prob_down+H30*Prob_up</f>
        <v>5.46875E-2</v>
      </c>
      <c r="J30" s="19">
        <f>I29*Prob_down+I30*Prob_up</f>
        <v>0.109375</v>
      </c>
      <c r="K30" s="19">
        <f>J29*Prob_down+J30*Prob_up</f>
        <v>0.1640625</v>
      </c>
      <c r="L30" s="19">
        <f>K29*Prob_down+K30*Prob_up</f>
        <v>0.205078125</v>
      </c>
    </row>
    <row r="31" spans="1:12">
      <c r="F31" s="19"/>
      <c r="G31" s="19"/>
      <c r="H31" s="19"/>
      <c r="I31" s="19">
        <f>H30*Prob_down+H31*Prob_up</f>
        <v>7.8125E-3</v>
      </c>
      <c r="J31" s="19">
        <f>I30*Prob_down+I31*Prob_up</f>
        <v>3.125E-2</v>
      </c>
      <c r="K31" s="19">
        <f>J30*Prob_down+J31*Prob_up</f>
        <v>7.03125E-2</v>
      </c>
      <c r="L31" s="19">
        <f>K30*Prob_down+K31*Prob_up</f>
        <v>0.1171875</v>
      </c>
    </row>
    <row r="32" spans="1:12">
      <c r="F32" s="19"/>
      <c r="G32" s="19"/>
      <c r="H32" s="19"/>
      <c r="I32" s="19"/>
      <c r="J32" s="19">
        <f>I31*Prob_down+I32*Prob_up</f>
        <v>3.90625E-3</v>
      </c>
      <c r="K32" s="19">
        <f>J31*Prob_down+J32*Prob_up</f>
        <v>1.7578125E-2</v>
      </c>
      <c r="L32" s="19">
        <f>K31*Prob_down+K32*Prob_up</f>
        <v>4.39453125E-2</v>
      </c>
    </row>
    <row r="33" spans="1:12">
      <c r="F33" s="19"/>
      <c r="G33" s="19"/>
      <c r="H33" s="19"/>
      <c r="I33" s="19"/>
      <c r="J33" s="19"/>
      <c r="K33" s="19">
        <f>J32*Prob_down+J33*Prob_up</f>
        <v>1.953125E-3</v>
      </c>
      <c r="L33" s="19">
        <f>K32*Prob_down+K33*Prob_up</f>
        <v>9.765625E-3</v>
      </c>
    </row>
    <row r="34" spans="1:12">
      <c r="F34" s="19"/>
      <c r="G34" s="19"/>
      <c r="H34" s="19"/>
      <c r="I34" s="19"/>
      <c r="J34" s="19"/>
      <c r="K34" s="19"/>
      <c r="L34" s="19">
        <f>K33*Prob_down+K34*Prob_up</f>
        <v>9.765625E-4</v>
      </c>
    </row>
    <row r="36" spans="1:12">
      <c r="A36" s="7" t="s">
        <v>13</v>
      </c>
      <c r="B36" s="17">
        <f t="shared" ref="B36:L36" si="11">SUM(B24:B35)</f>
        <v>1</v>
      </c>
      <c r="C36" s="17">
        <f t="shared" si="11"/>
        <v>1</v>
      </c>
      <c r="D36" s="17">
        <f t="shared" si="11"/>
        <v>1</v>
      </c>
      <c r="E36" s="17">
        <f t="shared" si="11"/>
        <v>1</v>
      </c>
      <c r="F36" s="17">
        <f t="shared" si="11"/>
        <v>1</v>
      </c>
      <c r="G36" s="17">
        <f t="shared" si="11"/>
        <v>1</v>
      </c>
      <c r="H36" s="17">
        <f t="shared" si="11"/>
        <v>1</v>
      </c>
      <c r="I36" s="17">
        <f t="shared" si="11"/>
        <v>1</v>
      </c>
      <c r="J36" s="20">
        <f t="shared" si="11"/>
        <v>1</v>
      </c>
      <c r="K36" s="20">
        <f t="shared" si="11"/>
        <v>1</v>
      </c>
      <c r="L36" s="20">
        <f t="shared" si="11"/>
        <v>1</v>
      </c>
    </row>
    <row r="38" spans="1:1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50" spans="13:13">
      <c r="M50" s="22"/>
    </row>
    <row r="51" spans="13:13">
      <c r="M51" s="22"/>
    </row>
    <row r="52" spans="13:13">
      <c r="M52" s="22"/>
    </row>
    <row r="53" spans="13:13">
      <c r="M53" s="22"/>
    </row>
    <row r="54" spans="13:13">
      <c r="M54" s="22"/>
    </row>
    <row r="55" spans="13:13">
      <c r="M55" s="22"/>
    </row>
    <row r="56" spans="13:13">
      <c r="M56" s="22"/>
    </row>
    <row r="57" spans="13:13">
      <c r="M57" s="22"/>
    </row>
    <row r="58" spans="13:13">
      <c r="M58" s="22"/>
    </row>
    <row r="59" spans="13:13">
      <c r="M59" s="22"/>
    </row>
    <row r="60" spans="13:13">
      <c r="M60" s="22"/>
    </row>
  </sheetData>
  <phoneticPr fontId="2" type="noConversion"/>
  <conditionalFormatting sqref="B60:G65">
    <cfRule type="cellIs" dxfId="3" priority="1" stopIfTrue="1" operator="equal">
      <formula>"NO"</formula>
    </cfRule>
  </conditionalFormatting>
  <pageMargins left="0.75" right="0.75" top="1" bottom="1" header="0.5" footer="0.5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1"/>
  <sheetViews>
    <sheetView workbookViewId="0">
      <pane ySplit="15" topLeftCell="A16" activePane="bottomLeft" state="frozenSplit"/>
      <selection pane="bottomLeft" activeCell="A35" sqref="A35:XFD35"/>
    </sheetView>
  </sheetViews>
  <sheetFormatPr baseColWidth="10" defaultColWidth="8.83203125" defaultRowHeight="15" x14ac:dyDescent="0"/>
  <cols>
    <col min="1" max="2" width="8.83203125" style="7"/>
    <col min="3" max="3" width="17.33203125" style="7" customWidth="1"/>
    <col min="4" max="4" width="9.5" style="7" bestFit="1" customWidth="1"/>
    <col min="5" max="6" width="9.83203125" style="7" bestFit="1" customWidth="1"/>
    <col min="7" max="7" width="10.33203125" style="7" customWidth="1"/>
    <col min="8" max="8" width="10.1640625" style="7" customWidth="1"/>
    <col min="9" max="9" width="10.5" style="7" bestFit="1" customWidth="1"/>
    <col min="10" max="10" width="11" style="7" bestFit="1" customWidth="1"/>
    <col min="11" max="16384" width="8.83203125" style="7"/>
  </cols>
  <sheetData>
    <row r="1" spans="1:13" s="24" customFormat="1" ht="20" thickBot="1">
      <c r="C1" s="24" t="s">
        <v>24</v>
      </c>
    </row>
    <row r="2" spans="1:13" ht="16" thickTop="1">
      <c r="C2" s="23" t="s">
        <v>98</v>
      </c>
    </row>
    <row r="3" spans="1:13" s="25" customFormat="1">
      <c r="C3" s="25" t="s">
        <v>43</v>
      </c>
    </row>
    <row r="4" spans="1:13" s="25" customFormat="1">
      <c r="C4" s="25" t="s">
        <v>44</v>
      </c>
    </row>
    <row r="6" spans="1:13">
      <c r="C6" s="28" t="s">
        <v>20</v>
      </c>
      <c r="D6" s="4">
        <v>1050</v>
      </c>
      <c r="F6" s="10" t="s">
        <v>28</v>
      </c>
      <c r="G6" s="4">
        <v>0.2</v>
      </c>
      <c r="H6" s="7" t="s">
        <v>39</v>
      </c>
    </row>
    <row r="7" spans="1:13">
      <c r="C7" s="9" t="s">
        <v>91</v>
      </c>
      <c r="D7" s="4">
        <v>3</v>
      </c>
      <c r="F7" s="10" t="s">
        <v>29</v>
      </c>
      <c r="G7" s="4">
        <f>1/3</f>
        <v>0.33333333333333331</v>
      </c>
      <c r="H7" s="7" t="s">
        <v>40</v>
      </c>
    </row>
    <row r="8" spans="1:13">
      <c r="C8" s="9" t="s">
        <v>18</v>
      </c>
      <c r="D8" s="4">
        <v>1800</v>
      </c>
      <c r="F8" s="10" t="s">
        <v>30</v>
      </c>
      <c r="G8" s="5">
        <f>1-SUM(G6:G7)</f>
        <v>0.46666666666666667</v>
      </c>
    </row>
    <row r="9" spans="1:13">
      <c r="C9" s="12" t="s">
        <v>19</v>
      </c>
      <c r="D9" s="4">
        <v>600</v>
      </c>
      <c r="F9" s="7" t="s">
        <v>31</v>
      </c>
      <c r="G9" s="4">
        <f>6/5</f>
        <v>1.2</v>
      </c>
      <c r="H9" s="5">
        <f>POWER(v_max/v_start, 1/n_periods)</f>
        <v>1.1968169611771509</v>
      </c>
      <c r="I9" s="7" t="s">
        <v>36</v>
      </c>
    </row>
    <row r="10" spans="1:13">
      <c r="C10" s="7" t="s">
        <v>41</v>
      </c>
      <c r="D10" s="2">
        <v>2100</v>
      </c>
      <c r="F10" s="7" t="s">
        <v>32</v>
      </c>
      <c r="G10" s="4">
        <v>1</v>
      </c>
      <c r="H10" s="26">
        <f>SQRT(low/hi)*hi</f>
        <v>1</v>
      </c>
      <c r="I10" s="7" t="s">
        <v>47</v>
      </c>
    </row>
    <row r="11" spans="1:13">
      <c r="F11" s="7" t="s">
        <v>33</v>
      </c>
      <c r="G11" s="4">
        <f>5/6</f>
        <v>0.83333333333333337</v>
      </c>
      <c r="H11" s="5">
        <f>POWER(v_min/v_start, 1/n_periods)</f>
        <v>0.82982653336624346</v>
      </c>
    </row>
    <row r="12" spans="1:13">
      <c r="F12" s="7" t="s">
        <v>86</v>
      </c>
      <c r="G12" s="7" t="s">
        <v>89</v>
      </c>
      <c r="H12" s="2">
        <v>-1</v>
      </c>
      <c r="I12" s="7" t="s">
        <v>87</v>
      </c>
      <c r="J12" s="7">
        <f>10^(-round_to)</f>
        <v>10</v>
      </c>
      <c r="K12" s="7" t="s">
        <v>88</v>
      </c>
      <c r="L12" s="41">
        <f>J12/v_start</f>
        <v>9.5238095238095247E-3</v>
      </c>
      <c r="M12" s="7" t="s">
        <v>90</v>
      </c>
    </row>
    <row r="13" spans="1:13">
      <c r="L13" s="41"/>
    </row>
    <row r="14" spans="1:13">
      <c r="C14" s="28" t="s">
        <v>92</v>
      </c>
      <c r="D14" s="7" t="s">
        <v>93</v>
      </c>
      <c r="E14" s="7" t="s">
        <v>94</v>
      </c>
      <c r="F14" s="7" t="s">
        <v>95</v>
      </c>
      <c r="G14" s="7" t="s">
        <v>96</v>
      </c>
      <c r="H14" s="7" t="s">
        <v>97</v>
      </c>
    </row>
    <row r="15" spans="1:13">
      <c r="A15" s="7" t="s">
        <v>26</v>
      </c>
      <c r="B15" s="7" t="s">
        <v>27</v>
      </c>
      <c r="D15" s="16">
        <v>0</v>
      </c>
      <c r="E15" s="16">
        <v>1</v>
      </c>
      <c r="F15" s="16">
        <v>2</v>
      </c>
      <c r="G15" s="16">
        <v>3</v>
      </c>
      <c r="H15" s="16">
        <v>4</v>
      </c>
    </row>
    <row r="16" spans="1:13">
      <c r="A16" s="7">
        <v>0</v>
      </c>
      <c r="B16" s="7">
        <v>0</v>
      </c>
      <c r="C16" s="3" t="s">
        <v>25</v>
      </c>
      <c r="D16" s="17">
        <f>IF(NOT(ISBLANK(round_to)),ROUND(v_start, round_to),v_start)</f>
        <v>1050</v>
      </c>
      <c r="E16" s="17">
        <f>IF(NOT(ISBLANK(round_to)),ROUND(v_start*hi^(E$15-SUM($A16:$B16))*mid^$A16*low^$B16,round_to),v_start*hi^(E$15-SUM($A16:$B16))*mid^$A16*low^$B16)</f>
        <v>1260</v>
      </c>
      <c r="F16" s="17">
        <f>IF(NOT(ISBLANK(round_to)),ROUND(v_start*hi^(F$15-SUM($A16:$B16))*mid^$A16*low^$B16, round_to),v_start*hi^(F$15-SUM($A16:$B16))*mid^$A16*low^$B16)</f>
        <v>1510</v>
      </c>
      <c r="G16" s="17">
        <f>IF(NOT(ISBLANK(round_to)),ROUND(v_start*hi^(G$15-SUM($A16:$B16))*mid^$A16*low^$B16, round_to),v_start*hi^(G$15-SUM($A16:$B16))*mid^$A16*low^$B16)</f>
        <v>1810</v>
      </c>
      <c r="H16" s="17">
        <f>IF(NOT(ISBLANK(round_to)),ROUND(v_start*hi^(H$15-SUM($A16:$B16))*mid^$A16*low^$B16, round_to),v_start*hi^(H$15-SUM($A16:$B16))*mid^$A16*low^$B16)</f>
        <v>2180</v>
      </c>
    </row>
    <row r="17" spans="1:8">
      <c r="A17" s="7">
        <v>1</v>
      </c>
      <c r="B17" s="7">
        <v>0</v>
      </c>
      <c r="C17" s="3"/>
      <c r="D17" s="17"/>
      <c r="E17" s="17">
        <f>IF(NOT(ISBLANK(round_to)),ROUND(v_start*hi^(E$15-SUM($A17:$B17))*mid^$A17*low^$B17,round_to),v_start*hi^(E$15-SUM($A17:$B17))*mid^$A17*low^$B17)</f>
        <v>1050</v>
      </c>
      <c r="F17" s="17">
        <f>IF(NOT(ISBLANK(round_to)),ROUND(v_start*hi^(F$15-SUM($A17:$B17))*mid^$A17*low^$B17, round_to),v_start*hi^(F$15-SUM($A17:$B17))*mid^$A17*low^$B17)</f>
        <v>1260</v>
      </c>
      <c r="G17" s="17">
        <f>IF(NOT(ISBLANK(round_to)),ROUND(v_start*hi^(G$15-SUM($A17:$B17))*mid^$A17*low^$B17, round_to),v_start*hi^(G$15-SUM($A17:$B17))*mid^$A17*low^$B17)</f>
        <v>1510</v>
      </c>
      <c r="H17" s="17">
        <f>IF(NOT(ISBLANK(round_to)),ROUND(v_start*hi^(H$15-SUM($A17:$B17))*mid^$A17*low^$B17, round_to),v_start*hi^(H$15-SUM($A17:$B17))*mid^$A17*low^$B17)</f>
        <v>1810</v>
      </c>
    </row>
    <row r="18" spans="1:8">
      <c r="A18" s="7">
        <v>0</v>
      </c>
      <c r="B18" s="7">
        <v>1</v>
      </c>
      <c r="D18" s="17"/>
      <c r="E18" s="17">
        <f>IF(NOT(ISBLANK(round_to)),ROUND(v_start*hi^(E$15-SUM($A18:$B18))*mid^$A18*low^$B18,round_to),v_start*hi^(E$15-SUM($A18:$B18))*mid^$A18*low^$B18)</f>
        <v>880</v>
      </c>
      <c r="F18" s="17">
        <f>IF(NOT(ISBLANK(round_to)),ROUND(v_start*hi^(F$15-SUM($A18:$B18))*mid^$A18*low^$B18, round_to),v_start*hi^(F$15-SUM($A18:$B18))*mid^$A18*low^$B18)</f>
        <v>1050</v>
      </c>
      <c r="G18" s="17">
        <f>IF(NOT(ISBLANK(round_to)),ROUND(v_start*hi^(G$15-SUM($A18:$B18))*mid^$A18*low^$B18, round_to),v_start*hi^(G$15-SUM($A18:$B18))*mid^$A18*low^$B18)</f>
        <v>1260</v>
      </c>
      <c r="H18" s="17">
        <f>IF(NOT(ISBLANK(round_to)),ROUND(v_start*hi^(H$15-SUM($A18:$B18))*mid^$A18*low^$B18, round_to),v_start*hi^(H$15-SUM($A18:$B18))*mid^$A18*low^$B18)</f>
        <v>1510</v>
      </c>
    </row>
    <row r="19" spans="1:8">
      <c r="A19" s="7">
        <v>2</v>
      </c>
      <c r="B19" s="7">
        <v>0</v>
      </c>
      <c r="D19" s="17"/>
      <c r="E19" s="17"/>
      <c r="F19" s="17">
        <f>IF(NOT(ISBLANK(round_to)),ROUND(v_start*hi^(F$15-SUM($A19:$B19))*mid^$A19*low^$B19, round_to),v_start*hi^(F$15-SUM($A19:$B19))*mid^$A19*low^$B19)</f>
        <v>1050</v>
      </c>
      <c r="G19" s="17">
        <f>IF(NOT(ISBLANK(round_to)),ROUND(v_start*hi^(G$15-SUM($A19:$B19))*mid^$A19*low^$B19, round_to),v_start*hi^(G$15-SUM($A19:$B19))*mid^$A19*low^$B19)</f>
        <v>1260</v>
      </c>
      <c r="H19" s="17">
        <f>IF(NOT(ISBLANK(round_to)),ROUND(v_start*hi^(H$15-SUM($A19:$B19))*mid^$A19*low^$B19, round_to),v_start*hi^(H$15-SUM($A19:$B19))*mid^$A19*low^$B19)</f>
        <v>1510</v>
      </c>
    </row>
    <row r="20" spans="1:8">
      <c r="A20" s="7">
        <v>1</v>
      </c>
      <c r="B20" s="7">
        <v>1</v>
      </c>
      <c r="D20" s="17"/>
      <c r="E20" s="17"/>
      <c r="F20" s="17">
        <f>IF(NOT(ISBLANK(round_to)),ROUND(v_start*hi^(F$15-SUM($A20:$B20))*mid^$A20*low^$B20, round_to),v_start*hi^(F$15-SUM($A20:$B20))*mid^$A20*low^$B20)</f>
        <v>880</v>
      </c>
      <c r="G20" s="17">
        <f>IF(NOT(ISBLANK(round_to)),ROUND(v_start*hi^(G$15-SUM($A20:$B20))*mid^$A20*low^$B20, round_to),v_start*hi^(G$15-SUM($A20:$B20))*mid^$A20*low^$B20)</f>
        <v>1050</v>
      </c>
      <c r="H20" s="17">
        <f>IF(NOT(ISBLANK(round_to)),ROUND(v_start*hi^(H$15-SUM($A20:$B20))*mid^$A20*low^$B20, round_to),v_start*hi^(H$15-SUM($A20:$B20))*mid^$A20*low^$B20)</f>
        <v>1260</v>
      </c>
    </row>
    <row r="21" spans="1:8">
      <c r="A21" s="7">
        <v>0</v>
      </c>
      <c r="B21" s="7">
        <v>2</v>
      </c>
      <c r="D21" s="17"/>
      <c r="E21" s="17"/>
      <c r="F21" s="17">
        <f>IF(NOT(ISBLANK(round_to)),ROUND(v_start*hi^(F$15-SUM($A21:$B21))*mid^$A21*low^$B21, round_to),v_start*hi^(F$15-SUM($A21:$B21))*mid^$A21*low^$B21)</f>
        <v>730</v>
      </c>
      <c r="G21" s="17">
        <f>IF(NOT(ISBLANK(round_to)),ROUND(v_start*hi^(G$15-SUM($A21:$B21))*mid^$A21*low^$B21, round_to),v_start*hi^(G$15-SUM($A21:$B21))*mid^$A21*low^$B21)</f>
        <v>880</v>
      </c>
      <c r="H21" s="17">
        <f>IF(NOT(ISBLANK(round_to)),ROUND(v_start*hi^(H$15-SUM($A21:$B21))*mid^$A21*low^$B21, round_to),v_start*hi^(H$15-SUM($A21:$B21))*mid^$A21*low^$B21)</f>
        <v>1050</v>
      </c>
    </row>
    <row r="22" spans="1:8">
      <c r="A22" s="7">
        <v>3</v>
      </c>
      <c r="B22" s="7">
        <v>0</v>
      </c>
      <c r="D22" s="17"/>
      <c r="E22" s="17"/>
      <c r="F22" s="17"/>
      <c r="G22" s="17">
        <f>IF(NOT(ISBLANK(round_to)),ROUND(v_start*hi^(G$15-SUM($A22:$B22))*mid^$A22*low^$B22, round_to),v_start*hi^(G$15-SUM($A22:$B22))*mid^$A22*low^$B22)</f>
        <v>1050</v>
      </c>
      <c r="H22" s="17">
        <f>IF(NOT(ISBLANK(round_to)),ROUND(v_start*hi^(H$15-SUM($A22:$B22))*mid^$A22*low^$B22, round_to),v_start*hi^(H$15-SUM($A22:$B22))*mid^$A22*low^$B22)</f>
        <v>1260</v>
      </c>
    </row>
    <row r="23" spans="1:8">
      <c r="A23" s="7">
        <v>2</v>
      </c>
      <c r="B23" s="7">
        <v>1</v>
      </c>
      <c r="D23" s="17"/>
      <c r="E23" s="17"/>
      <c r="F23" s="17"/>
      <c r="G23" s="17">
        <f>IF(NOT(ISBLANK(round_to)),ROUND(v_start*hi^(G$15-SUM($A23:$B23))*mid^$A23*low^$B23, round_to),v_start*hi^(G$15-SUM($A23:$B23))*mid^$A23*low^$B23)</f>
        <v>880</v>
      </c>
      <c r="H23" s="17">
        <f>IF(NOT(ISBLANK(round_to)),ROUND(v_start*hi^(H$15-SUM($A23:$B23))*mid^$A23*low^$B23, round_to),v_start*hi^(H$15-SUM($A23:$B23))*mid^$A23*low^$B23)</f>
        <v>1050</v>
      </c>
    </row>
    <row r="24" spans="1:8">
      <c r="A24" s="7">
        <v>1</v>
      </c>
      <c r="B24" s="7">
        <v>2</v>
      </c>
      <c r="D24" s="17"/>
      <c r="E24" s="17"/>
      <c r="F24" s="17"/>
      <c r="G24" s="17">
        <f>IF(NOT(ISBLANK(round_to)),ROUND(v_start*hi^(G$15-SUM($A24:$B24))*mid^$A24*low^$B24, round_to),v_start*hi^(G$15-SUM($A24:$B24))*mid^$A24*low^$B24)</f>
        <v>730</v>
      </c>
      <c r="H24" s="17">
        <f>IF(NOT(ISBLANK(round_to)),ROUND(v_start*hi^(H$15-SUM($A24:$B24))*mid^$A24*low^$B24, round_to),v_start*hi^(H$15-SUM($A24:$B24))*mid^$A24*low^$B24)</f>
        <v>880</v>
      </c>
    </row>
    <row r="25" spans="1:8">
      <c r="A25" s="7">
        <v>0</v>
      </c>
      <c r="B25" s="7">
        <v>3</v>
      </c>
      <c r="D25" s="17"/>
      <c r="E25" s="17"/>
      <c r="F25" s="17"/>
      <c r="G25" s="17">
        <f>IF(NOT(ISBLANK(round_to)),ROUND(v_start*hi^(G$15-SUM($A25:$B25))*mid^$A25*low^$B25, round_to),v_start*hi^(G$15-SUM($A25:$B25))*mid^$A25*low^$B25)</f>
        <v>610</v>
      </c>
      <c r="H25" s="17">
        <f>IF(NOT(ISBLANK(round_to)),ROUND(v_start*hi^(H$15-SUM($A25:$B25))*mid^$A25*low^$B25, round_to),v_start*hi^(H$15-SUM($A25:$B25))*mid^$A25*low^$B25)</f>
        <v>730</v>
      </c>
    </row>
    <row r="26" spans="1:8">
      <c r="A26" s="7">
        <v>4</v>
      </c>
      <c r="B26" s="7">
        <v>0</v>
      </c>
      <c r="D26" s="17"/>
      <c r="E26" s="17"/>
      <c r="F26" s="17"/>
      <c r="G26" s="17"/>
      <c r="H26" s="17">
        <f>IF(NOT(ISBLANK(round_to)),ROUND(v_start*hi^(H$15-SUM($A26:$B26))*mid^$A26*low^$B26, round_to),v_start*hi^(H$15-SUM($A26:$B26))*mid^$A26*low^$B26)</f>
        <v>1050</v>
      </c>
    </row>
    <row r="27" spans="1:8">
      <c r="A27" s="7">
        <v>3</v>
      </c>
      <c r="B27" s="7">
        <v>1</v>
      </c>
      <c r="D27" s="17"/>
      <c r="E27" s="17"/>
      <c r="F27" s="17"/>
      <c r="G27" s="17"/>
      <c r="H27" s="17">
        <f>IF(NOT(ISBLANK(round_to)),ROUND(v_start*hi^(H$15-SUM($A27:$B27))*mid^$A27*low^$B27, round_to),v_start*hi^(H$15-SUM($A27:$B27))*mid^$A27*low^$B27)</f>
        <v>880</v>
      </c>
    </row>
    <row r="28" spans="1:8" s="18" customFormat="1">
      <c r="A28" s="18">
        <v>2</v>
      </c>
      <c r="B28" s="7">
        <v>2</v>
      </c>
      <c r="H28" s="17">
        <f>IF(NOT(ISBLANK(round_to)),ROUND(v_start*hi^(H$15-SUM($A28:$B28))*mid^$A28*low^$B28, round_to),v_start*hi^(H$15-SUM($A28:$B28))*mid^$A28*low^$B28)</f>
        <v>730</v>
      </c>
    </row>
    <row r="29" spans="1:8" s="18" customFormat="1">
      <c r="A29" s="18">
        <v>1</v>
      </c>
      <c r="B29" s="18">
        <v>3</v>
      </c>
      <c r="H29" s="17">
        <f>IF(NOT(ISBLANK(round_to)),ROUND(v_start*hi^(H$15-SUM($A29:$B29))*mid^$A29*low^$B29, round_to),v_start*hi^(H$15-SUM($A29:$B29))*mid^$A29*low^$B29)</f>
        <v>610</v>
      </c>
    </row>
    <row r="30" spans="1:8" s="18" customFormat="1">
      <c r="A30" s="18">
        <v>0</v>
      </c>
      <c r="B30" s="18">
        <v>4</v>
      </c>
      <c r="H30" s="17">
        <f>IF(NOT(ISBLANK(round_to)),ROUND(v_start*hi^(H$15-SUM($A30:$B30))*mid^$A30*low^$B30, round_to),v_start*hi^(H$15-SUM($A30:$B30))*mid^$A30*low^$B30)</f>
        <v>510</v>
      </c>
    </row>
    <row r="31" spans="1:8" s="27" customFormat="1">
      <c r="C31" s="27" t="s">
        <v>34</v>
      </c>
    </row>
    <row r="32" spans="1:8" customFormat="1" ht="12"/>
    <row r="33" spans="1:8">
      <c r="C33" s="7" t="s">
        <v>84</v>
      </c>
      <c r="D33" s="18">
        <f>SUMPRODUCT(D16:D31,D54:D69)</f>
        <v>1050</v>
      </c>
      <c r="E33" s="18">
        <f>SUMPRODUCT(E16:E31,E54:E69)</f>
        <v>1012.6666666666667</v>
      </c>
      <c r="F33" s="18">
        <f>SUMPRODUCT(F16:F31,F54:F69)</f>
        <v>973.82222222222219</v>
      </c>
      <c r="G33" s="18">
        <f>SUMPRODUCT(G16:G31,G54:G69)</f>
        <v>937.17629629629641</v>
      </c>
      <c r="H33" s="18">
        <f>SUMPRODUCT(H16:H31,H54:H69)</f>
        <v>901.87219753086424</v>
      </c>
    </row>
    <row r="34" spans="1:8">
      <c r="C34" s="7" t="s">
        <v>101</v>
      </c>
      <c r="D34" s="17">
        <f>D33/$D$6</f>
        <v>1</v>
      </c>
      <c r="E34" s="17">
        <f>E33/$D$6</f>
        <v>0.96444444444444455</v>
      </c>
      <c r="F34" s="17">
        <f>F33/$D$6</f>
        <v>0.92744973544973541</v>
      </c>
      <c r="G34" s="17">
        <f>G33/$D$6</f>
        <v>0.89254885361552039</v>
      </c>
      <c r="H34" s="17">
        <f>H33/$D$6</f>
        <v>0.85892590241034694</v>
      </c>
    </row>
    <row r="35" spans="1:8">
      <c r="C35" s="7" t="s">
        <v>100</v>
      </c>
      <c r="D35" s="17">
        <f>D33/$D$10</f>
        <v>0.5</v>
      </c>
      <c r="E35" s="17">
        <f t="shared" ref="E35:H35" si="0">E33/$D$10</f>
        <v>0.48222222222222227</v>
      </c>
      <c r="F35" s="17">
        <f t="shared" si="0"/>
        <v>0.46372486772486771</v>
      </c>
      <c r="G35" s="17">
        <f t="shared" si="0"/>
        <v>0.44627442680776019</v>
      </c>
      <c r="H35" s="17">
        <f t="shared" si="0"/>
        <v>0.42946295120517347</v>
      </c>
    </row>
    <row r="37" spans="1:8">
      <c r="A37" s="7">
        <v>0</v>
      </c>
      <c r="B37" s="7">
        <v>0</v>
      </c>
      <c r="C37" s="3" t="s">
        <v>100</v>
      </c>
      <c r="D37" s="17">
        <f>D16/v_ref</f>
        <v>0.5</v>
      </c>
      <c r="E37" s="17">
        <f>E16/v_ref</f>
        <v>0.6</v>
      </c>
      <c r="F37" s="17">
        <f>F16/v_ref</f>
        <v>0.71904761904761905</v>
      </c>
      <c r="G37" s="17">
        <f>G16/v_ref</f>
        <v>0.86190476190476195</v>
      </c>
      <c r="H37" s="17">
        <f>H16/v_ref</f>
        <v>1.0380952380952382</v>
      </c>
    </row>
    <row r="38" spans="1:8">
      <c r="A38" s="7">
        <v>1</v>
      </c>
      <c r="B38" s="7">
        <v>0</v>
      </c>
      <c r="C38" s="3"/>
      <c r="D38" s="17"/>
      <c r="E38" s="17">
        <f>E17/v_ref</f>
        <v>0.5</v>
      </c>
      <c r="F38" s="17">
        <f>F17/v_ref</f>
        <v>0.6</v>
      </c>
      <c r="G38" s="17">
        <f>G17/v_ref</f>
        <v>0.71904761904761905</v>
      </c>
      <c r="H38" s="17">
        <f>H17/v_ref</f>
        <v>0.86190476190476195</v>
      </c>
    </row>
    <row r="39" spans="1:8">
      <c r="A39" s="7">
        <v>0</v>
      </c>
      <c r="B39" s="7">
        <v>1</v>
      </c>
      <c r="D39" s="17"/>
      <c r="E39" s="17">
        <f>E18/v_ref</f>
        <v>0.41904761904761906</v>
      </c>
      <c r="F39" s="17">
        <f>F18/v_ref</f>
        <v>0.5</v>
      </c>
      <c r="G39" s="17">
        <f>G18/v_ref</f>
        <v>0.6</v>
      </c>
      <c r="H39" s="17">
        <f>H18/v_ref</f>
        <v>0.71904761904761905</v>
      </c>
    </row>
    <row r="40" spans="1:8">
      <c r="A40" s="7">
        <v>2</v>
      </c>
      <c r="B40" s="7">
        <v>0</v>
      </c>
      <c r="D40" s="17"/>
      <c r="E40" s="17"/>
      <c r="F40" s="17">
        <f>F19/v_ref</f>
        <v>0.5</v>
      </c>
      <c r="G40" s="17">
        <f>G19/v_ref</f>
        <v>0.6</v>
      </c>
      <c r="H40" s="17">
        <f>H19/v_ref</f>
        <v>0.71904761904761905</v>
      </c>
    </row>
    <row r="41" spans="1:8">
      <c r="A41" s="7">
        <v>1</v>
      </c>
      <c r="B41" s="7">
        <v>1</v>
      </c>
      <c r="D41" s="17"/>
      <c r="E41" s="17"/>
      <c r="F41" s="17">
        <f>F20/v_ref</f>
        <v>0.41904761904761906</v>
      </c>
      <c r="G41" s="17">
        <f>G20/v_ref</f>
        <v>0.5</v>
      </c>
      <c r="H41" s="17">
        <f>H20/v_ref</f>
        <v>0.6</v>
      </c>
    </row>
    <row r="42" spans="1:8">
      <c r="A42" s="7">
        <v>0</v>
      </c>
      <c r="B42" s="7">
        <v>2</v>
      </c>
      <c r="D42" s="17"/>
      <c r="E42" s="17"/>
      <c r="F42" s="17">
        <f>F21/v_ref</f>
        <v>0.34761904761904761</v>
      </c>
      <c r="G42" s="17">
        <f>G21/v_ref</f>
        <v>0.41904761904761906</v>
      </c>
      <c r="H42" s="17">
        <f>H21/v_ref</f>
        <v>0.5</v>
      </c>
    </row>
    <row r="43" spans="1:8">
      <c r="A43" s="7">
        <v>3</v>
      </c>
      <c r="B43" s="7">
        <v>0</v>
      </c>
      <c r="D43" s="17"/>
      <c r="E43" s="17"/>
      <c r="F43" s="17"/>
      <c r="G43" s="17">
        <f>G22/v_ref</f>
        <v>0.5</v>
      </c>
      <c r="H43" s="17">
        <f>H22/v_ref</f>
        <v>0.6</v>
      </c>
    </row>
    <row r="44" spans="1:8">
      <c r="A44" s="7">
        <v>2</v>
      </c>
      <c r="B44" s="7">
        <v>1</v>
      </c>
      <c r="D44" s="17"/>
      <c r="E44" s="17"/>
      <c r="F44" s="17"/>
      <c r="G44" s="17">
        <f>G23/v_ref</f>
        <v>0.41904761904761906</v>
      </c>
      <c r="H44" s="17">
        <f>H23/v_ref</f>
        <v>0.5</v>
      </c>
    </row>
    <row r="45" spans="1:8">
      <c r="A45" s="7">
        <v>1</v>
      </c>
      <c r="B45" s="7">
        <v>2</v>
      </c>
      <c r="D45" s="17"/>
      <c r="E45" s="17"/>
      <c r="F45" s="17"/>
      <c r="G45" s="17">
        <f>G24/v_ref</f>
        <v>0.34761904761904761</v>
      </c>
      <c r="H45" s="17">
        <f>H24/v_ref</f>
        <v>0.41904761904761906</v>
      </c>
    </row>
    <row r="46" spans="1:8">
      <c r="A46" s="7">
        <v>0</v>
      </c>
      <c r="B46" s="7">
        <v>3</v>
      </c>
      <c r="D46" s="17"/>
      <c r="E46" s="17"/>
      <c r="F46" s="17"/>
      <c r="G46" s="17">
        <f>G25/v_ref</f>
        <v>0.2904761904761905</v>
      </c>
      <c r="H46" s="17">
        <f>H25/v_ref</f>
        <v>0.34761904761904761</v>
      </c>
    </row>
    <row r="47" spans="1:8">
      <c r="A47" s="7">
        <v>4</v>
      </c>
      <c r="B47" s="7">
        <v>0</v>
      </c>
      <c r="D47" s="17"/>
      <c r="E47" s="17"/>
      <c r="F47" s="17"/>
      <c r="G47" s="17"/>
      <c r="H47" s="17">
        <f>H26/v_ref</f>
        <v>0.5</v>
      </c>
    </row>
    <row r="48" spans="1:8">
      <c r="A48" s="7">
        <v>3</v>
      </c>
      <c r="B48" s="7">
        <v>1</v>
      </c>
      <c r="D48" s="17"/>
      <c r="E48" s="17"/>
      <c r="F48" s="17"/>
      <c r="G48" s="17"/>
      <c r="H48" s="17">
        <f>H27/v_ref</f>
        <v>0.41904761904761906</v>
      </c>
    </row>
    <row r="49" spans="1:8" s="18" customFormat="1">
      <c r="A49" s="18">
        <v>2</v>
      </c>
      <c r="B49" s="7">
        <v>2</v>
      </c>
      <c r="H49" s="17">
        <f>H28/v_ref</f>
        <v>0.34761904761904761</v>
      </c>
    </row>
    <row r="50" spans="1:8" s="18" customFormat="1">
      <c r="A50" s="18">
        <v>1</v>
      </c>
      <c r="B50" s="18">
        <v>3</v>
      </c>
      <c r="H50" s="17">
        <f>H29/v_ref</f>
        <v>0.2904761904761905</v>
      </c>
    </row>
    <row r="51" spans="1:8" s="18" customFormat="1">
      <c r="A51" s="18">
        <v>0</v>
      </c>
      <c r="B51" s="18">
        <v>4</v>
      </c>
      <c r="H51" s="17">
        <f>H30/v_ref</f>
        <v>0.24285714285714285</v>
      </c>
    </row>
    <row r="52" spans="1:8" s="27" customFormat="1">
      <c r="C52" s="27" t="s">
        <v>34</v>
      </c>
    </row>
    <row r="53" spans="1:8" customFormat="1" ht="12"/>
    <row r="54" spans="1:8">
      <c r="A54" s="7">
        <f>A16</f>
        <v>0</v>
      </c>
      <c r="B54" s="7">
        <f>B16</f>
        <v>0</v>
      </c>
      <c r="C54" s="3" t="s">
        <v>12</v>
      </c>
      <c r="D54" s="17">
        <v>1</v>
      </c>
      <c r="E54" s="17">
        <f t="shared" ref="E54:H56" si="1">MULTINOMIAL(E$15-SUM($A54:$B54),$A54,$B54)*Prob_hi^(E$15-SUM($A54:$B54))*Prob_mid^$A54*Prob_low^$B54</f>
        <v>0.2</v>
      </c>
      <c r="F54" s="17">
        <f t="shared" si="1"/>
        <v>4.0000000000000008E-2</v>
      </c>
      <c r="G54" s="17">
        <f t="shared" si="1"/>
        <v>8.0000000000000019E-3</v>
      </c>
      <c r="H54" s="17">
        <f t="shared" si="1"/>
        <v>1.6000000000000003E-3</v>
      </c>
    </row>
    <row r="55" spans="1:8">
      <c r="A55" s="7">
        <f>A17</f>
        <v>1</v>
      </c>
      <c r="B55" s="7">
        <f>B17</f>
        <v>0</v>
      </c>
      <c r="D55" s="17"/>
      <c r="E55" s="17">
        <f t="shared" si="1"/>
        <v>0.33333333333333331</v>
      </c>
      <c r="F55" s="17">
        <f t="shared" si="1"/>
        <v>0.13333333333333333</v>
      </c>
      <c r="G55" s="17">
        <f t="shared" si="1"/>
        <v>4.0000000000000008E-2</v>
      </c>
      <c r="H55" s="17">
        <f t="shared" si="1"/>
        <v>1.0666666666666668E-2</v>
      </c>
    </row>
    <row r="56" spans="1:8">
      <c r="A56" s="7">
        <f>A18</f>
        <v>0</v>
      </c>
      <c r="B56" s="7">
        <f>B18</f>
        <v>1</v>
      </c>
      <c r="D56" s="17"/>
      <c r="E56" s="17">
        <f t="shared" si="1"/>
        <v>0.46666666666666667</v>
      </c>
      <c r="F56" s="17">
        <f t="shared" si="1"/>
        <v>0.18666666666666668</v>
      </c>
      <c r="G56" s="17">
        <f t="shared" si="1"/>
        <v>5.6000000000000015E-2</v>
      </c>
      <c r="H56" s="17">
        <f t="shared" si="1"/>
        <v>1.4933333333333337E-2</v>
      </c>
    </row>
    <row r="57" spans="1:8">
      <c r="A57" s="7">
        <f>A19</f>
        <v>2</v>
      </c>
      <c r="B57" s="7">
        <f>B19</f>
        <v>0</v>
      </c>
      <c r="D57" s="17"/>
      <c r="E57" s="17"/>
      <c r="F57" s="17">
        <f t="shared" ref="F57:H59" si="2">MULTINOMIAL(F$15-SUM($A57:$B57),$A57,$B57)*Prob_hi^(F$15-SUM($A57:$B57))*Prob_mid^$A57*Prob_low^$B57</f>
        <v>0.1111111111111111</v>
      </c>
      <c r="G57" s="17">
        <f t="shared" si="2"/>
        <v>6.666666666666668E-2</v>
      </c>
      <c r="H57" s="17">
        <f t="shared" si="2"/>
        <v>2.6666666666666661E-2</v>
      </c>
    </row>
    <row r="58" spans="1:8">
      <c r="A58" s="7">
        <f>A20</f>
        <v>1</v>
      </c>
      <c r="B58" s="7">
        <f>B20</f>
        <v>1</v>
      </c>
      <c r="D58" s="17"/>
      <c r="E58" s="17"/>
      <c r="F58" s="17">
        <f t="shared" si="2"/>
        <v>0.31111111111111112</v>
      </c>
      <c r="G58" s="17">
        <f t="shared" si="2"/>
        <v>0.18666666666666668</v>
      </c>
      <c r="H58" s="17">
        <f t="shared" si="2"/>
        <v>7.4666666666666687E-2</v>
      </c>
    </row>
    <row r="59" spans="1:8">
      <c r="A59" s="7">
        <f>A21</f>
        <v>0</v>
      </c>
      <c r="B59" s="7">
        <f>B21</f>
        <v>2</v>
      </c>
      <c r="D59" s="17"/>
      <c r="E59" s="17"/>
      <c r="F59" s="17">
        <f t="shared" si="2"/>
        <v>0.21777777777777779</v>
      </c>
      <c r="G59" s="17">
        <f t="shared" si="2"/>
        <v>0.13066666666666668</v>
      </c>
      <c r="H59" s="17">
        <f t="shared" si="2"/>
        <v>5.2266666666666663E-2</v>
      </c>
    </row>
    <row r="60" spans="1:8">
      <c r="A60" s="7">
        <f>A22</f>
        <v>3</v>
      </c>
      <c r="B60" s="7">
        <f>B22</f>
        <v>0</v>
      </c>
      <c r="E60" s="17"/>
      <c r="F60" s="17"/>
      <c r="G60" s="17">
        <f t="shared" ref="G60:H63" si="3">MULTINOMIAL(G$15-SUM($A60:$B60),$A60,$B60)*Prob_hi^(G$15-SUM($A60:$B60))*Prob_mid^$A60*Prob_low^$B60</f>
        <v>3.7037037037037035E-2</v>
      </c>
      <c r="H60" s="17">
        <f t="shared" si="3"/>
        <v>2.9629629629629631E-2</v>
      </c>
    </row>
    <row r="61" spans="1:8">
      <c r="A61" s="7">
        <f>A23</f>
        <v>2</v>
      </c>
      <c r="B61" s="7">
        <f>B23</f>
        <v>1</v>
      </c>
      <c r="E61" s="17"/>
      <c r="F61" s="17"/>
      <c r="G61" s="17">
        <f t="shared" si="3"/>
        <v>0.15555555555555559</v>
      </c>
      <c r="H61" s="17">
        <f t="shared" si="3"/>
        <v>0.12444444444444447</v>
      </c>
    </row>
    <row r="62" spans="1:8">
      <c r="A62" s="7">
        <f>A24</f>
        <v>1</v>
      </c>
      <c r="B62" s="7">
        <f>B24</f>
        <v>2</v>
      </c>
      <c r="E62" s="17"/>
      <c r="F62" s="17"/>
      <c r="G62" s="17">
        <f t="shared" si="3"/>
        <v>0.21777777777777779</v>
      </c>
      <c r="H62" s="17">
        <f t="shared" si="3"/>
        <v>0.17422222222222225</v>
      </c>
    </row>
    <row r="63" spans="1:8">
      <c r="A63" s="7">
        <f>A25</f>
        <v>0</v>
      </c>
      <c r="B63" s="7">
        <f>B25</f>
        <v>3</v>
      </c>
      <c r="E63" s="17"/>
      <c r="F63" s="17"/>
      <c r="G63" s="17">
        <f t="shared" si="3"/>
        <v>0.10162962962962964</v>
      </c>
      <c r="H63" s="17">
        <f t="shared" si="3"/>
        <v>8.1303703703703711E-2</v>
      </c>
    </row>
    <row r="64" spans="1:8">
      <c r="A64" s="7">
        <f>A26</f>
        <v>4</v>
      </c>
      <c r="B64" s="7">
        <f>B26</f>
        <v>0</v>
      </c>
      <c r="E64" s="17"/>
      <c r="F64" s="17"/>
      <c r="G64" s="17"/>
      <c r="H64" s="17">
        <f>MULTINOMIAL(H$15-SUM($A64:$B64),$A64,$B64)*Prob_hi^(H$15-SUM($A64:$B64))*Prob_mid^$A64*Prob_low^$B64</f>
        <v>1.2345679012345675E-2</v>
      </c>
    </row>
    <row r="65" spans="1:9">
      <c r="A65" s="7">
        <f>A27</f>
        <v>3</v>
      </c>
      <c r="B65" s="7">
        <f>B27</f>
        <v>1</v>
      </c>
      <c r="E65" s="17"/>
      <c r="F65" s="17"/>
      <c r="G65" s="17"/>
      <c r="H65" s="17">
        <f>MULTINOMIAL(H$15-SUM($A65:$B65),$A65,$B65)*Prob_hi^(H$15-SUM($A65:$B65))*Prob_mid^$A65*Prob_low^$B65</f>
        <v>6.9135802469135796E-2</v>
      </c>
    </row>
    <row r="66" spans="1:9">
      <c r="A66" s="7">
        <f>A28</f>
        <v>2</v>
      </c>
      <c r="B66" s="7">
        <f>B28</f>
        <v>2</v>
      </c>
      <c r="E66" s="18"/>
      <c r="F66" s="18"/>
      <c r="G66" s="18"/>
      <c r="H66" s="17">
        <f>MULTINOMIAL(H$15-SUM($A66:$B66),$A66,$B66)*Prob_hi^(H$15-SUM($A66:$B66))*Prob_mid^$A66*Prob_low^$B66</f>
        <v>0.14518518518518514</v>
      </c>
    </row>
    <row r="67" spans="1:9">
      <c r="A67" s="7">
        <f>A29</f>
        <v>1</v>
      </c>
      <c r="B67" s="7">
        <f>B29</f>
        <v>3</v>
      </c>
      <c r="E67" s="18"/>
      <c r="F67" s="18"/>
      <c r="G67" s="18"/>
      <c r="H67" s="17">
        <f>MULTINOMIAL(H$15-SUM($A67:$B67),$A67,$B67)*Prob_hi^(H$15-SUM($A67:$B67))*Prob_mid^$A67*Prob_low^$B67</f>
        <v>0.13550617283950617</v>
      </c>
    </row>
    <row r="68" spans="1:9">
      <c r="A68" s="7">
        <f>A30</f>
        <v>0</v>
      </c>
      <c r="B68" s="7">
        <f>B30</f>
        <v>4</v>
      </c>
      <c r="D68" s="21"/>
      <c r="E68" s="18"/>
      <c r="F68" s="18"/>
      <c r="G68" s="18"/>
      <c r="H68" s="17">
        <f>MULTINOMIAL(H$15-SUM($A68:$B68),$A68,$B68)*Prob_hi^(H$15-SUM($A68:$B68))*Prob_mid^$A68*Prob_low^$B68</f>
        <v>4.7427160493827156E-2</v>
      </c>
    </row>
    <row r="69" spans="1:9" s="27" customFormat="1">
      <c r="C69" s="27" t="s">
        <v>34</v>
      </c>
    </row>
    <row r="70" spans="1:9">
      <c r="C70" s="7" t="s">
        <v>13</v>
      </c>
      <c r="D70" s="17">
        <f>SUM(D54:D69)</f>
        <v>1</v>
      </c>
      <c r="E70" s="17">
        <f>SUM(E54:E69)</f>
        <v>1</v>
      </c>
      <c r="F70" s="17">
        <f>SUM(F54:F69)</f>
        <v>1</v>
      </c>
      <c r="G70" s="17">
        <f>SUM(G54:G69)</f>
        <v>1.0000000000000002</v>
      </c>
      <c r="H70" s="17">
        <f>SUM(H54:H69)</f>
        <v>0.99999999999999989</v>
      </c>
    </row>
    <row r="72" spans="1:9">
      <c r="C72" s="3" t="s">
        <v>35</v>
      </c>
      <c r="D72" s="17">
        <f>SUMIF(D$16:D$31,"&lt;="&amp;D16,D$54:D$69)</f>
        <v>1</v>
      </c>
      <c r="E72" s="17">
        <f>SUMIF(E$16:E$31,"&lt;="&amp;E16,E$54:E$69)</f>
        <v>1</v>
      </c>
      <c r="F72" s="17">
        <f>SUMIF(F$16:F$31,"&lt;="&amp;F16,F$54:F$69)</f>
        <v>1</v>
      </c>
      <c r="G72" s="17">
        <f>SUMIF(G$16:G$31,"&lt;="&amp;G16,G$54:G$69)</f>
        <v>1.0000000000000002</v>
      </c>
      <c r="H72" s="17">
        <f>SUMIF(H$16:H$31,"&lt;="&amp;H16,H$54:H$69)</f>
        <v>0.99999999999999989</v>
      </c>
    </row>
    <row r="73" spans="1:9">
      <c r="E73" s="17">
        <f>SUMIF(E$16:E$31,"&lt;="&amp;E17,E$54:E$69)</f>
        <v>0.8</v>
      </c>
      <c r="F73" s="17">
        <f>SUMIF(F$16:F$31,"&lt;="&amp;F17,F$54:F$69)</f>
        <v>0.96</v>
      </c>
      <c r="G73" s="17">
        <f>SUMIF(G$16:G$31,"&lt;="&amp;G17,G$54:G$69)</f>
        <v>0.9920000000000001</v>
      </c>
      <c r="H73" s="17">
        <f>SUMIF(H$16:H$31,"&lt;="&amp;H17,H$54:H$69)</f>
        <v>0.99839999999999984</v>
      </c>
    </row>
    <row r="74" spans="1:9">
      <c r="E74" s="17">
        <f>SUMIF(E$16:E$31,"&lt;="&amp;E18,E$54:E$69)</f>
        <v>0.46666666666666667</v>
      </c>
      <c r="F74" s="17">
        <f>SUMIF(F$16:F$31,"&lt;="&amp;F18,F$54:F$69)</f>
        <v>0.82666666666666666</v>
      </c>
      <c r="G74" s="17">
        <f>SUMIF(G$16:G$31,"&lt;="&amp;G18,G$54:G$69)</f>
        <v>0.95200000000000007</v>
      </c>
      <c r="H74" s="17">
        <f>SUMIF(H$16:H$31,"&lt;="&amp;H18,H$54:H$69)</f>
        <v>0.98773333333333324</v>
      </c>
    </row>
    <row r="75" spans="1:9">
      <c r="F75" s="17">
        <f>SUMIF(F$16:F$31,"&lt;="&amp;F19,F$54:F$69)</f>
        <v>0.82666666666666666</v>
      </c>
      <c r="G75" s="17">
        <f>SUMIF(G$16:G$31,"&lt;="&amp;G19,G$54:G$69)</f>
        <v>0.95200000000000007</v>
      </c>
      <c r="H75" s="17">
        <f>SUMIF(H$16:H$31,"&lt;="&amp;H19,H$54:H$69)</f>
        <v>0.98773333333333324</v>
      </c>
    </row>
    <row r="76" spans="1:9">
      <c r="F76" s="17">
        <f>SUMIF(F$16:F$31,"&lt;="&amp;F20,F$54:F$69)</f>
        <v>0.52888888888888896</v>
      </c>
      <c r="G76" s="17">
        <f>SUMIF(G$16:G$31,"&lt;="&amp;G20,G$54:G$69)</f>
        <v>0.82933333333333337</v>
      </c>
      <c r="H76" s="17">
        <f>SUMIF(H$16:H$31,"&lt;="&amp;H20,H$54:H$69)</f>
        <v>0.94613333333333316</v>
      </c>
    </row>
    <row r="77" spans="1:9">
      <c r="F77" s="17">
        <f>SUMIF(F$16:F$31,"&lt;="&amp;F21,F$54:F$69)</f>
        <v>0.21777777777777779</v>
      </c>
      <c r="G77" s="17">
        <f>SUMIF(G$16:G$31,"&lt;="&amp;G21,G$54:G$69)</f>
        <v>0.60562962962962963</v>
      </c>
      <c r="H77" s="17">
        <f>SUMIF(H$16:H$31,"&lt;="&amp;H21,H$54:H$69)</f>
        <v>0.84183703703703705</v>
      </c>
    </row>
    <row r="78" spans="1:9">
      <c r="F78" s="17"/>
      <c r="G78" s="17">
        <f>SUMIF(G$16:G$31,"&lt;="&amp;G22,G$54:G$69)</f>
        <v>0.82933333333333337</v>
      </c>
      <c r="H78" s="17">
        <f>SUMIF(H$16:H$31,"&lt;="&amp;H22,H$54:H$69)</f>
        <v>0.94613333333333316</v>
      </c>
    </row>
    <row r="79" spans="1:9">
      <c r="G79" s="17">
        <f>SUMIF(G$16:G$31,"&lt;="&amp;G23,G$54:G$69)</f>
        <v>0.60562962962962963</v>
      </c>
      <c r="H79" s="17">
        <f>SUMIF(H$16:H$31,"&lt;="&amp;H23,H$54:H$69)</f>
        <v>0.84183703703703705</v>
      </c>
    </row>
    <row r="80" spans="1:9">
      <c r="G80" s="17">
        <f>SUMIF(G$16:G$31,"&lt;="&amp;G24,G$54:G$69)</f>
        <v>0.31940740740740742</v>
      </c>
      <c r="H80" s="17">
        <f>SUMIF(H$16:H$31,"&lt;="&amp;H24,H$54:H$69)</f>
        <v>0.65278024691358016</v>
      </c>
      <c r="I80" s="22"/>
    </row>
    <row r="81" spans="3:9">
      <c r="G81" s="17">
        <f>SUMIF(G$16:G$31,"&lt;="&amp;G25,G$54:G$69)</f>
        <v>0.10162962962962964</v>
      </c>
      <c r="H81" s="17">
        <f>SUMIF(H$16:H$31,"&lt;="&amp;H25,H$54:H$69)</f>
        <v>0.40942222222222219</v>
      </c>
      <c r="I81" s="22"/>
    </row>
    <row r="82" spans="3:9">
      <c r="H82" s="17">
        <f>SUMIF(H$16:H$31,"&lt;="&amp;H26,H$54:H$69)</f>
        <v>0.84183703703703705</v>
      </c>
      <c r="I82" s="22"/>
    </row>
    <row r="83" spans="3:9">
      <c r="H83" s="17">
        <f>SUMIF(H$16:H$31,"&lt;="&amp;H27,H$54:H$69)</f>
        <v>0.65278024691358016</v>
      </c>
      <c r="I83" s="22"/>
    </row>
    <row r="84" spans="3:9">
      <c r="H84" s="17">
        <f>SUMIF(H$16:H$31,"&lt;="&amp;H28,H$54:H$69)</f>
        <v>0.40942222222222219</v>
      </c>
      <c r="I84" s="22"/>
    </row>
    <row r="85" spans="3:9">
      <c r="H85" s="17">
        <f>SUMIF(H$16:H$31,"&lt;="&amp;H29,H$54:H$69)</f>
        <v>0.18293333333333334</v>
      </c>
      <c r="I85" s="22"/>
    </row>
    <row r="86" spans="3:9">
      <c r="H86" s="17">
        <f>SUMIF(H$16:H$31,"&lt;="&amp;H30,H$54:H$69)</f>
        <v>4.7427160493827156E-2</v>
      </c>
      <c r="I86" s="22"/>
    </row>
    <row r="87" spans="3:9" s="27" customFormat="1">
      <c r="C87" s="27" t="s">
        <v>34</v>
      </c>
    </row>
    <row r="88" spans="3:9">
      <c r="I88" s="22"/>
    </row>
    <row r="89" spans="3:9">
      <c r="C89" s="3" t="s">
        <v>37</v>
      </c>
      <c r="D89" s="17">
        <f>SUMIF(D$16:D$31,"&lt;"&amp;D16,D$54:D$69)</f>
        <v>0</v>
      </c>
      <c r="E89" s="17">
        <f>SUMIF(E$16:E$31,"&lt;"&amp;E16,E$54:E$69)</f>
        <v>0.8</v>
      </c>
      <c r="F89" s="17">
        <f>SUMIF(F$16:F$31,"&lt;"&amp;F16,F$54:F$69)</f>
        <v>0.96</v>
      </c>
      <c r="G89" s="17">
        <f>SUMIF(G$16:G$31,"&lt;"&amp;G16,G$54:G$69)</f>
        <v>0.9920000000000001</v>
      </c>
      <c r="H89" s="17">
        <f>SUMIF(H$16:H$31,"&lt;"&amp;H16,H$54:H$69)</f>
        <v>0.99839999999999984</v>
      </c>
      <c r="I89" s="22"/>
    </row>
    <row r="90" spans="3:9">
      <c r="E90" s="17">
        <f>SUMIF(E$16:E$31,"&lt;"&amp;E17,E$54:E$69)</f>
        <v>0.46666666666666667</v>
      </c>
      <c r="F90" s="17">
        <f>SUMIF(F$16:F$31,"&lt;"&amp;F17,F$54:F$69)</f>
        <v>0.82666666666666666</v>
      </c>
      <c r="G90" s="17">
        <f>SUMIF(G$16:G$31,"&lt;"&amp;G17,G$54:G$69)</f>
        <v>0.95200000000000007</v>
      </c>
      <c r="H90" s="17">
        <f>SUMIF(H$16:H$31,"&lt;"&amp;H17,H$54:H$69)</f>
        <v>0.98773333333333324</v>
      </c>
      <c r="I90" s="22"/>
    </row>
    <row r="91" spans="3:9">
      <c r="E91" s="17">
        <f>SUMIF(E$16:E$31,"&lt;"&amp;E18,E$54:E$69)</f>
        <v>0</v>
      </c>
      <c r="F91" s="17">
        <f>SUMIF(F$16:F$31,"&lt;"&amp;F18,F$54:F$69)</f>
        <v>0.52888888888888896</v>
      </c>
      <c r="G91" s="17">
        <f>SUMIF(G$16:G$31,"&lt;"&amp;G18,G$54:G$69)</f>
        <v>0.82933333333333337</v>
      </c>
      <c r="H91" s="17">
        <f>SUMIF(H$16:H$31,"&lt;"&amp;H18,H$54:H$69)</f>
        <v>0.94613333333333316</v>
      </c>
    </row>
    <row r="92" spans="3:9">
      <c r="F92" s="17">
        <f>SUMIF(F$16:F$31,"&lt;"&amp;F19,F$54:F$69)</f>
        <v>0.52888888888888896</v>
      </c>
      <c r="G92" s="17">
        <f>SUMIF(G$16:G$31,"&lt;"&amp;G19,G$54:G$69)</f>
        <v>0.82933333333333337</v>
      </c>
      <c r="H92" s="17">
        <f>SUMIF(H$16:H$31,"&lt;"&amp;H19,H$54:H$69)</f>
        <v>0.94613333333333316</v>
      </c>
    </row>
    <row r="93" spans="3:9">
      <c r="F93" s="17">
        <f>SUMIF(F$16:F$31,"&lt;"&amp;F20,F$54:F$69)</f>
        <v>0.21777777777777779</v>
      </c>
      <c r="G93" s="17">
        <f>SUMIF(G$16:G$31,"&lt;"&amp;G20,G$54:G$69)</f>
        <v>0.60562962962962963</v>
      </c>
      <c r="H93" s="17">
        <f>SUMIF(H$16:H$31,"&lt;"&amp;H20,H$54:H$69)</f>
        <v>0.84183703703703705</v>
      </c>
    </row>
    <row r="94" spans="3:9">
      <c r="F94" s="17">
        <f>SUMIF(F$16:F$31,"&lt;"&amp;F21,F$54:F$69)</f>
        <v>0</v>
      </c>
      <c r="G94" s="17">
        <f>SUMIF(G$16:G$31,"&lt;"&amp;G21,G$54:G$69)</f>
        <v>0.31940740740740742</v>
      </c>
      <c r="H94" s="17">
        <f>SUMIF(H$16:H$31,"&lt;"&amp;H21,H$54:H$69)</f>
        <v>0.65278024691358016</v>
      </c>
    </row>
    <row r="95" spans="3:9">
      <c r="F95" s="17"/>
      <c r="G95" s="17">
        <f>SUMIF(G$16:G$31,"&lt;"&amp;G22,G$54:G$69)</f>
        <v>0.60562962962962963</v>
      </c>
      <c r="H95" s="17">
        <f>SUMIF(H$16:H$31,"&lt;"&amp;H22,H$54:H$69)</f>
        <v>0.84183703703703705</v>
      </c>
    </row>
    <row r="96" spans="3:9">
      <c r="G96" s="17">
        <f>SUMIF(G$16:G$31,"&lt;"&amp;G23,G$54:G$69)</f>
        <v>0.31940740740740742</v>
      </c>
      <c r="H96" s="17">
        <f>SUMIF(H$16:H$31,"&lt;"&amp;H23,H$54:H$69)</f>
        <v>0.65278024691358016</v>
      </c>
    </row>
    <row r="97" spans="3:8">
      <c r="G97" s="17">
        <f>SUMIF(G$16:G$31,"&lt;"&amp;G24,G$54:G$69)</f>
        <v>0.10162962962962964</v>
      </c>
      <c r="H97" s="17">
        <f>SUMIF(H$16:H$31,"&lt;"&amp;H24,H$54:H$69)</f>
        <v>0.40942222222222219</v>
      </c>
    </row>
    <row r="98" spans="3:8">
      <c r="G98" s="17">
        <f>SUMIF(G$16:G$31,"&lt;"&amp;G25,G$54:G$69)</f>
        <v>0</v>
      </c>
      <c r="H98" s="17">
        <f>SUMIF(H$16:H$31,"&lt;"&amp;H25,H$54:H$69)</f>
        <v>0.18293333333333334</v>
      </c>
    </row>
    <row r="99" spans="3:8">
      <c r="H99" s="17">
        <f>SUMIF(H$16:H$31,"&lt;"&amp;H26,H$54:H$69)</f>
        <v>0.65278024691358016</v>
      </c>
    </row>
    <row r="100" spans="3:8">
      <c r="H100" s="17">
        <f>SUMIF(H$16:H$31,"&lt;"&amp;H27,H$54:H$69)</f>
        <v>0.40942222222222219</v>
      </c>
    </row>
    <row r="101" spans="3:8">
      <c r="H101" s="17">
        <f>SUMIF(H$16:H$31,"&lt;"&amp;H28,H$54:H$69)</f>
        <v>0.18293333333333334</v>
      </c>
    </row>
    <row r="102" spans="3:8">
      <c r="H102" s="17">
        <f>SUMIF(H$16:H$31,"&lt;"&amp;H29,H$54:H$69)</f>
        <v>4.7427160493827156E-2</v>
      </c>
    </row>
    <row r="103" spans="3:8">
      <c r="H103" s="17">
        <f>SUMIF(H$16:H$31,"&lt;"&amp;H30,H$54:H$69)</f>
        <v>0</v>
      </c>
    </row>
    <row r="104" spans="3:8">
      <c r="C104" s="27" t="s">
        <v>34</v>
      </c>
      <c r="D104" s="27"/>
      <c r="E104" s="27"/>
      <c r="F104" s="27"/>
      <c r="G104" s="27"/>
      <c r="H104" s="27"/>
    </row>
    <row r="106" spans="3:8">
      <c r="C106" s="3" t="s">
        <v>38</v>
      </c>
      <c r="D106" s="17">
        <f>D72-D89</f>
        <v>1</v>
      </c>
      <c r="E106" s="17">
        <f>E72-E89</f>
        <v>0.19999999999999996</v>
      </c>
      <c r="F106" s="17">
        <f>F72-F89</f>
        <v>4.0000000000000036E-2</v>
      </c>
      <c r="G106" s="17">
        <f>G72-G89</f>
        <v>8.0000000000001181E-3</v>
      </c>
      <c r="H106" s="17">
        <f>H72-H89</f>
        <v>1.6000000000000458E-3</v>
      </c>
    </row>
    <row r="107" spans="3:8">
      <c r="E107" s="17">
        <f t="shared" ref="E107:H108" si="4">E73-E90</f>
        <v>0.33333333333333337</v>
      </c>
      <c r="F107" s="17">
        <f t="shared" si="4"/>
        <v>0.1333333333333333</v>
      </c>
      <c r="G107" s="17">
        <f t="shared" si="4"/>
        <v>4.0000000000000036E-2</v>
      </c>
      <c r="H107" s="17">
        <f t="shared" si="4"/>
        <v>1.0666666666666602E-2</v>
      </c>
    </row>
    <row r="108" spans="3:8">
      <c r="E108" s="17">
        <f t="shared" si="4"/>
        <v>0.46666666666666667</v>
      </c>
      <c r="F108" s="17">
        <f t="shared" si="4"/>
        <v>0.2977777777777777</v>
      </c>
      <c r="G108" s="17">
        <f t="shared" si="4"/>
        <v>0.1226666666666667</v>
      </c>
      <c r="H108" s="17">
        <f t="shared" si="4"/>
        <v>4.1600000000000081E-2</v>
      </c>
    </row>
    <row r="109" spans="3:8">
      <c r="F109" s="17">
        <f t="shared" ref="F109:H111" si="5">F75-F92</f>
        <v>0.2977777777777777</v>
      </c>
      <c r="G109" s="17">
        <f t="shared" si="5"/>
        <v>0.1226666666666667</v>
      </c>
      <c r="H109" s="17">
        <f t="shared" si="5"/>
        <v>4.1600000000000081E-2</v>
      </c>
    </row>
    <row r="110" spans="3:8">
      <c r="F110" s="17">
        <f t="shared" si="5"/>
        <v>0.31111111111111117</v>
      </c>
      <c r="G110" s="17">
        <f t="shared" si="5"/>
        <v>0.22370370370370374</v>
      </c>
      <c r="H110" s="17">
        <f t="shared" si="5"/>
        <v>0.10429629629629611</v>
      </c>
    </row>
    <row r="111" spans="3:8">
      <c r="F111" s="17">
        <f t="shared" si="5"/>
        <v>0.21777777777777779</v>
      </c>
      <c r="G111" s="17">
        <f t="shared" si="5"/>
        <v>0.28622222222222221</v>
      </c>
      <c r="H111" s="17">
        <f t="shared" si="5"/>
        <v>0.18905679012345689</v>
      </c>
    </row>
    <row r="112" spans="3:8">
      <c r="F112" s="17"/>
      <c r="G112" s="17">
        <f t="shared" ref="G112:H115" si="6">G78-G95</f>
        <v>0.22370370370370374</v>
      </c>
      <c r="H112" s="17">
        <f t="shared" si="6"/>
        <v>0.10429629629629611</v>
      </c>
    </row>
    <row r="113" spans="3:8">
      <c r="G113" s="17">
        <f t="shared" si="6"/>
        <v>0.28622222222222221</v>
      </c>
      <c r="H113" s="17">
        <f t="shared" si="6"/>
        <v>0.18905679012345689</v>
      </c>
    </row>
    <row r="114" spans="3:8">
      <c r="G114" s="17">
        <f t="shared" si="6"/>
        <v>0.21777777777777779</v>
      </c>
      <c r="H114" s="17">
        <f t="shared" si="6"/>
        <v>0.24335802469135798</v>
      </c>
    </row>
    <row r="115" spans="3:8">
      <c r="G115" s="17">
        <f t="shared" si="6"/>
        <v>0.10162962962962964</v>
      </c>
      <c r="H115" s="17">
        <f t="shared" si="6"/>
        <v>0.22648888888888885</v>
      </c>
    </row>
    <row r="116" spans="3:8">
      <c r="H116" s="17">
        <f>H82-H99</f>
        <v>0.18905679012345689</v>
      </c>
    </row>
    <row r="117" spans="3:8">
      <c r="H117" s="17">
        <f>H83-H100</f>
        <v>0.24335802469135798</v>
      </c>
    </row>
    <row r="118" spans="3:8">
      <c r="H118" s="17">
        <f>H84-H101</f>
        <v>0.22648888888888885</v>
      </c>
    </row>
    <row r="119" spans="3:8">
      <c r="H119" s="17">
        <f>H85-H102</f>
        <v>0.13550617283950617</v>
      </c>
    </row>
    <row r="120" spans="3:8">
      <c r="H120" s="17">
        <f>H86-H103</f>
        <v>4.7427160493827156E-2</v>
      </c>
    </row>
    <row r="121" spans="3:8">
      <c r="C121" s="27" t="s">
        <v>34</v>
      </c>
      <c r="D121" s="27"/>
      <c r="E121" s="27"/>
      <c r="F121" s="27"/>
      <c r="G121" s="27"/>
      <c r="H121" s="27"/>
    </row>
  </sheetData>
  <conditionalFormatting sqref="G8">
    <cfRule type="cellIs" dxfId="2" priority="5" operator="lessThan">
      <formula>0</formula>
    </cfRule>
  </conditionalFormatting>
  <conditionalFormatting sqref="D37:H122 D15:H32">
    <cfRule type="expression" dxfId="1" priority="4">
      <formula>D$15&gt;$D$7</formula>
    </cfRule>
  </conditionalFormatting>
  <conditionalFormatting sqref="H10">
    <cfRule type="cellIs" dxfId="0" priority="1" operator="notBetween">
      <formula>$G$9</formula>
      <formula>$G$11</formula>
    </cfRule>
  </conditionalFormatting>
  <pageMargins left="0.75" right="0.75" top="1" bottom="1" header="0.5" footer="0.5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 Costs</vt:lpstr>
      <vt:lpstr>Coal CCS</vt:lpstr>
      <vt:lpstr>Wind</vt:lpstr>
      <vt:lpstr>NG Price</vt:lpstr>
      <vt:lpstr>Binomial Latice template</vt:lpstr>
      <vt:lpstr>Trinomial Latice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Fadeev</dc:creator>
  <cp:lastModifiedBy>Bryan Palmintier</cp:lastModifiedBy>
  <dcterms:created xsi:type="dcterms:W3CDTF">2005-11-10T03:14:58Z</dcterms:created>
  <dcterms:modified xsi:type="dcterms:W3CDTF">2012-01-21T07:34:09Z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-1820301072</vt:i4>
  </property>
  <property fmtid="{D5CDD505-2E9C-101B-9397-08002B2CF9AE}" pid="3" name="_NewReviewCycle">
    <vt:lpwstr/>
  </property>
  <property fmtid="{D5CDD505-2E9C-101B-9397-08002B2CF9AE}" pid="4" name="_EmailSubject">
    <vt:lpwstr>You promised class a spreadsheet!</vt:lpwstr>
  </property>
  <property fmtid="{D5CDD505-2E9C-101B-9397-08002B2CF9AE}" pid="5" name="_AuthorEmail">
    <vt:lpwstr>afadeev@mit.edu</vt:lpwstr>
  </property>
  <property fmtid="{D5CDD505-2E9C-101B-9397-08002B2CF9AE}" pid="6" name="_AuthorEmailDisplayName">
    <vt:lpwstr>Alexander Fadeev</vt:lpwstr>
  </property>
  <property fmtid="{D5CDD505-2E9C-101B-9397-08002B2CF9AE}" pid="7" name="_ReviewingToolsShownOnce">
    <vt:lpwstr/>
  </property>
</Properties>
</file>