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pdam\Documents\Bootcamp\Homework\DamoreExcelChallenge\"/>
    </mc:Choice>
  </mc:AlternateContent>
  <xr:revisionPtr revIDLastSave="0" documentId="13_ncr:1_{6F1B358F-7CA3-4076-B9CE-D8A5EF521614}" xr6:coauthVersionLast="45" xr6:coauthVersionMax="45" xr10:uidLastSave="{00000000-0000-0000-0000-000000000000}"/>
  <bookViews>
    <workbookView xWindow="-110" yWindow="-110" windowWidth="19420" windowHeight="11760" firstSheet="2" activeTab="5" xr2:uid="{00000000-000D-0000-FFFF-FFFF00000000}"/>
  </bookViews>
  <sheets>
    <sheet name="Main Data" sheetId="1" r:id="rId1"/>
    <sheet name="State Per Category" sheetId="2" r:id="rId2"/>
    <sheet name="State Per Sub-Category" sheetId="4" r:id="rId3"/>
    <sheet name="Outcomes Based on Launch Date" sheetId="5" r:id="rId4"/>
    <sheet name="BONUS" sheetId="6" r:id="rId5"/>
    <sheet name="BONUS PT.2" sheetId="9" r:id="rId6"/>
  </sheets>
  <definedNames>
    <definedName name="_xlnm._FilterDatabase" localSheetId="0" hidden="1">'Main Data'!$K$1:$K$4115</definedName>
    <definedName name="backers_count">'Main Data'!$L$2:L</definedName>
    <definedName name="Goal">'Main Data'!$D:$D</definedName>
    <definedName name="State">'Main Data'!$F:$F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6" l="1"/>
  <c r="B6" i="9" l="1" a="1"/>
  <c r="B6" i="9" s="1"/>
  <c r="C7" i="9" a="1"/>
  <c r="C7" i="9" s="1"/>
  <c r="C6" i="9" a="1"/>
  <c r="C6" i="9" s="1"/>
  <c r="C5" i="9" a="1"/>
  <c r="C5" i="9" s="1"/>
  <c r="C4" i="9" a="1"/>
  <c r="C4" i="9" s="1"/>
  <c r="C3" i="9" a="1"/>
  <c r="C3" i="9" s="1"/>
  <c r="C2" i="9"/>
  <c r="B7" i="9" a="1"/>
  <c r="B7" i="9" s="1"/>
  <c r="B2" i="9"/>
  <c r="B5" i="9" a="1"/>
  <c r="B5" i="9" s="1"/>
  <c r="B3" i="9" a="1"/>
  <c r="B3" i="9" s="1"/>
  <c r="B4" i="9" a="1"/>
  <c r="B4" i="9" s="1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1" i="6" l="1"/>
  <c r="H11" i="6" s="1"/>
  <c r="E10" i="6"/>
  <c r="F10" i="6" s="1"/>
  <c r="E9" i="6"/>
  <c r="F9" i="6" s="1"/>
  <c r="E8" i="6"/>
  <c r="H8" i="6" s="1"/>
  <c r="E7" i="6"/>
  <c r="H7" i="6" s="1"/>
  <c r="E2" i="6"/>
  <c r="G2" i="6" s="1"/>
  <c r="E6" i="6"/>
  <c r="F6" i="6" s="1"/>
  <c r="E13" i="6"/>
  <c r="F13" i="6" s="1"/>
  <c r="E5" i="6"/>
  <c r="F5" i="6" s="1"/>
  <c r="E12" i="6"/>
  <c r="F12" i="6" s="1"/>
  <c r="E4" i="6"/>
  <c r="F4" i="6" s="1"/>
  <c r="E3" i="6"/>
  <c r="F3" i="6" s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F2" i="6" l="1"/>
  <c r="G11" i="6"/>
  <c r="F11" i="6"/>
  <c r="G10" i="6"/>
  <c r="H10" i="6"/>
  <c r="H9" i="6"/>
  <c r="G9" i="6"/>
  <c r="G8" i="6"/>
  <c r="F8" i="6"/>
  <c r="G7" i="6"/>
  <c r="F7" i="6"/>
  <c r="H2" i="6"/>
  <c r="H12" i="6"/>
  <c r="G12" i="6"/>
  <c r="G5" i="6"/>
  <c r="H5" i="6"/>
  <c r="G13" i="6"/>
  <c r="H13" i="6"/>
  <c r="H6" i="6"/>
  <c r="G6" i="6"/>
  <c r="G4" i="6"/>
  <c r="H4" i="6"/>
  <c r="G3" i="6"/>
  <c r="H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<sst xmlns="http://schemas.openxmlformats.org/spreadsheetml/2006/main" count="33050" uniqueCount="8403">
  <si>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</si>
  <si>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</si>
  <si>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</si>
  <si>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</si>
  <si>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</si>
  <si>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</si>
  <si>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</si>
  <si>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</si>
  <si>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</si>
  <si>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</si>
  <si>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</si>
  <si>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</si>
  <si>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</si>
  <si>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</si>
  <si>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</si>
  <si>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</si>
  <si>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</si>
  <si>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</si>
  <si>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</si>
  <si>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</si>
  <si>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</si>
  <si>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</si>
  <si>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</si>
  <si>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</si>
  <si>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</si>
  <si>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</si>
  <si>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</si>
  <si>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</si>
  <si>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</si>
  <si>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</si>
  <si>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</si>
  <si>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</si>
  <si>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</si>
  <si>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</si>
  <si>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</si>
  <si>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</si>
  <si>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</si>
  <si>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</si>
  <si>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</si>
  <si>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</si>
  <si>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</si>
  <si>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</si>
  <si>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</si>
  <si>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</si>
  <si>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</si>
  <si>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</si>
  <si>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</si>
  <si>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</si>
  <si>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</si>
  <si>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</si>
  <si>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</si>
  <si>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</si>
  <si>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</si>
  <si>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</si>
  <si>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</si>
  <si>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</si>
  <si>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</si>
  <si>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</si>
  <si>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</si>
  <si>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</si>
  <si>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</si>
  <si>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</si>
  <si>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</si>
  <si>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</si>
  <si>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</si>
  <si>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</si>
  <si>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</si>
  <si>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</si>
  <si>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</si>
  <si>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</si>
  <si>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</si>
  <si>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</si>
  <si>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</si>
  <si>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</si>
  <si>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</si>
  <si>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</si>
  <si>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</si>
  <si>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</si>
  <si>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</si>
  <si>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</si>
  <si>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</si>
  <si>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</si>
  <si>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</si>
  <si>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</si>
  <si>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</si>
  <si>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</si>
  <si>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</si>
  <si>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</si>
  <si>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</si>
  <si>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</si>
  <si>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</si>
  <si>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</si>
  <si>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</si>
  <si>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</si>
  <si>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</si>
  <si>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</si>
  <si>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</si>
  <si>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</si>
  <si>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</si>
  <si>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</si>
  <si>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</si>
  <si>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</si>
  <si>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</si>
  <si>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</si>
  <si>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</si>
  <si>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</si>
  <si>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</si>
  <si>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</si>
  <si>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</si>
  <si>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</si>
  <si>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</si>
  <si>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</si>
  <si>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</si>
  <si>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</si>
  <si>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</si>
  <si>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</si>
  <si>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</si>
  <si>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</si>
  <si>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</si>
  <si>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</si>
  <si>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</si>
  <si>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</si>
  <si>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</si>
  <si>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</si>
  <si>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</si>
  <si>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</si>
  <si>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</si>
  <si>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</si>
  <si>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</si>
  <si>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</si>
  <si>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</si>
  <si>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</si>
  <si>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</si>
  <si>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</si>
  <si>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</si>
  <si>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</si>
  <si>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</si>
  <si>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</si>
  <si>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</si>
  <si>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</si>
  <si>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</si>
  <si>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</si>
  <si>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</si>
  <si>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</si>
  <si>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</si>
  <si>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</si>
  <si>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</si>
  <si>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</si>
  <si>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</si>
  <si>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</si>
  <si>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</si>
  <si>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</si>
  <si>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</si>
  <si>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</si>
  <si>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</si>
  <si>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</si>
  <si>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</si>
  <si>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</si>
  <si>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</si>
  <si>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</si>
  <si>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</si>
  <si>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</si>
  <si>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</si>
  <si>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</si>
  <si>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</si>
  <si>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</si>
  <si>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</si>
  <si>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</si>
  <si>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</si>
  <si>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</si>
  <si>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</si>
  <si>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</si>
  <si>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</si>
  <si>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</si>
  <si>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</si>
  <si>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</si>
  <si>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</si>
  <si>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</si>
  <si>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</si>
  <si>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</si>
  <si>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</si>
  <si>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</si>
  <si>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</si>
  <si>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</si>
  <si>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</si>
  <si>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</si>
  <si>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</si>
  <si>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</si>
  <si>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</si>
  <si>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</si>
  <si>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</si>
  <si>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</si>
  <si>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</si>
  <si>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</si>
  <si>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</si>
  <si>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</si>
  <si>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</si>
  <si>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</si>
  <si>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</si>
  <si>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</si>
  <si>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</si>
  <si>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</si>
  <si>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</si>
  <si>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</si>
  <si>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</si>
  <si>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</si>
  <si>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</si>
  <si>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</si>
  <si>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</si>
  <si>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</si>
  <si>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</si>
  <si>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</si>
  <si>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</si>
  <si>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</si>
  <si>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</si>
  <si>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</si>
  <si>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</si>
  <si>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</si>
  <si>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</si>
  <si>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</si>
  <si>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</si>
  <si>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</si>
  <si>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</si>
  <si>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</si>
  <si>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</si>
  <si>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</si>
  <si>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</si>
  <si>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</si>
  <si>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</si>
  <si>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</si>
  <si>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</si>
  <si>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</si>
  <si>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</si>
  <si>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</si>
  <si>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</si>
  <si>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</si>
  <si>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</si>
  <si>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</si>
  <si>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</si>
  <si>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</si>
  <si>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</si>
  <si>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</si>
  <si>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</si>
  <si>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</si>
  <si>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</si>
  <si>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</si>
  <si>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</si>
  <si>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</si>
  <si>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</si>
  <si>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</si>
  <si>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</si>
  <si>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</si>
  <si>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</si>
  <si>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</si>
  <si>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</si>
  <si>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</si>
  <si>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</si>
  <si>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</si>
  <si>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</si>
  <si>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</si>
  <si>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</si>
  <si>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</si>
  <si>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</si>
  <si>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</si>
  <si>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</si>
  <si>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</si>
  <si>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</si>
  <si>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</si>
  <si>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</si>
  <si>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</si>
  <si>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</si>
  <si>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</si>
  <si>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</si>
  <si>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</si>
  <si>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</si>
  <si>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</si>
  <si>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</si>
  <si>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</si>
  <si>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</si>
  <si>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</si>
  <si>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</si>
  <si>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</si>
  <si>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</si>
  <si>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</si>
  <si>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</si>
  <si>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</si>
  <si>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</si>
  <si>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</si>
  <si>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</si>
  <si>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</si>
  <si>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</si>
  <si>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</si>
  <si>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</si>
  <si>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</si>
  <si>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</si>
  <si>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</si>
  <si>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</si>
  <si>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</si>
  <si>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</si>
  <si>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</si>
  <si>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</si>
  <si>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</si>
  <si>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</si>
  <si>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</si>
  <si>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</si>
  <si>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</si>
  <si>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</si>
  <si>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</si>
  <si>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</si>
  <si>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</si>
  <si>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</si>
  <si>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</si>
  <si>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</si>
  <si>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</si>
  <si>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</si>
  <si>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</si>
  <si>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</si>
  <si>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</si>
  <si>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</si>
  <si>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</si>
  <si>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</si>
  <si>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</si>
  <si>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</si>
  <si>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</si>
  <si>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</si>
  <si>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</si>
  <si>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</si>
  <si>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</si>
  <si>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</si>
  <si>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</si>
  <si>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</si>
  <si>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</si>
  <si>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</si>
  <si>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</si>
  <si>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</si>
  <si>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</si>
  <si>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</si>
  <si>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</si>
  <si>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</si>
  <si>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</si>
  <si>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</si>
  <si>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</si>
  <si>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</si>
  <si>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</si>
  <si>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</si>
  <si>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</si>
  <si>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</si>
  <si>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</si>
  <si>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</si>
  <si>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</si>
  <si>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</si>
  <si>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</si>
  <si>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</si>
  <si>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</si>
  <si>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</si>
  <si>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</si>
  <si>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</si>
  <si>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</si>
  <si>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</si>
  <si>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</si>
  <si>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</si>
  <si>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</si>
  <si>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</si>
  <si>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</si>
  <si>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</si>
  <si>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</si>
  <si>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</si>
  <si>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</si>
  <si>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</si>
  <si>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</si>
  <si>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</si>
  <si>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</si>
  <si>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</si>
  <si>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</si>
  <si>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</si>
  <si>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</si>
  <si>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</si>
  <si>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</si>
  <si>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</si>
  <si>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</si>
  <si>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</si>
  <si>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</si>
  <si>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</si>
  <si>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</si>
  <si>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</si>
  <si>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</si>
  <si>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</si>
  <si>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</si>
  <si>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</si>
  <si>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</si>
  <si>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</si>
  <si>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</si>
  <si>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</si>
  <si>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</si>
  <si>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</si>
  <si>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</si>
  <si>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</si>
  <si>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</si>
  <si>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</si>
  <si>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</si>
  <si>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</si>
  <si>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</si>
  <si>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</si>
  <si>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</si>
  <si>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</si>
  <si>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</si>
  <si>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</si>
  <si>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</si>
  <si>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</si>
  <si>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</si>
  <si>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</si>
  <si>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</si>
  <si>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</si>
  <si>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</si>
  <si>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</si>
  <si>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</si>
  <si>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</si>
  <si>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</si>
  <si>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</si>
  <si>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</si>
  <si>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</si>
  <si>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</si>
  <si>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</si>
  <si>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</si>
  <si>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</si>
  <si>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</si>
  <si>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</si>
  <si>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</si>
  <si>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</si>
  <si>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</si>
  <si>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</si>
  <si>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</si>
  <si>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</si>
  <si>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</si>
  <si>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</si>
  <si>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</si>
  <si>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</si>
  <si>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</si>
  <si>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</si>
  <si>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</si>
  <si>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</si>
  <si>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</si>
  <si>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</si>
  <si>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</si>
  <si>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</si>
  <si>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</si>
  <si>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</si>
  <si>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</si>
  <si>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</si>
  <si>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</si>
  <si>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</si>
  <si>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</si>
  <si>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</si>
  <si>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</si>
  <si>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</si>
  <si>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</si>
  <si>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</si>
  <si>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</si>
  <si>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</si>
  <si>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</si>
  <si>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</si>
  <si>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</si>
  <si>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</si>
  <si>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</si>
  <si>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</si>
  <si>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</si>
  <si>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</si>
  <si>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</si>
  <si>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</si>
  <si>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</si>
  <si>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</si>
  <si>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</si>
  <si>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</si>
  <si>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</si>
  <si>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</si>
  <si>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</si>
  <si>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</si>
  <si>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</si>
  <si>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</si>
  <si>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</si>
  <si>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</si>
  <si>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</si>
  <si>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</si>
  <si>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</si>
  <si>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</si>
  <si>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</si>
  <si>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</si>
  <si>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</si>
  <si>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</si>
  <si>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</si>
  <si>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</si>
  <si>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</si>
  <si>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</si>
  <si>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</si>
  <si>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</si>
  <si>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</si>
  <si>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</si>
  <si>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</si>
  <si>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</si>
  <si>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</si>
  <si>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</si>
  <si>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</si>
  <si>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</si>
  <si>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</si>
  <si>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</si>
  <si>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</si>
  <si>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</si>
  <si>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</si>
  <si>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</si>
  <si>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</si>
  <si>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</si>
  <si>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</si>
  <si>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</si>
  <si>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</si>
  <si>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</si>
  <si>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</si>
  <si>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</si>
  <si>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</si>
  <si>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</si>
  <si>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</si>
  <si>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</si>
  <si>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</si>
  <si>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</si>
  <si>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</si>
  <si>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</si>
  <si>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</si>
  <si>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</si>
  <si>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</si>
  <si>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</si>
  <si>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</si>
  <si>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</si>
  <si>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</si>
  <si>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</si>
  <si>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</si>
  <si>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</si>
  <si>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</si>
  <si>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</si>
  <si>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</si>
  <si>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</si>
  <si>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</si>
  <si>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</si>
  <si>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</si>
  <si>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</si>
  <si>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</si>
  <si>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</si>
  <si>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</si>
  <si>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</si>
  <si>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</si>
  <si>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</si>
  <si>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</si>
  <si>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</si>
  <si>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</si>
  <si>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</si>
  <si>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</si>
  <si>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</si>
  <si>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</si>
  <si>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</si>
  <si>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</si>
  <si>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</si>
  <si>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</si>
  <si>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</si>
  <si>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</si>
  <si>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</si>
  <si>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</si>
  <si>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</si>
  <si>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</si>
  <si>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</si>
  <si>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</si>
  <si>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</si>
  <si>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</si>
  <si>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</si>
  <si>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</si>
  <si>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</si>
  <si>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</si>
  <si>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</si>
  <si>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</si>
  <si>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</si>
  <si>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</si>
  <si>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</si>
  <si>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</si>
  <si>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</si>
  <si>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</si>
  <si>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</si>
  <si>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</si>
  <si>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</si>
  <si>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</si>
  <si>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</si>
  <si>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</si>
  <si>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</si>
  <si>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</si>
  <si>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</si>
  <si>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</si>
  <si>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</si>
  <si>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</si>
  <si>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</si>
  <si>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</si>
  <si>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</si>
  <si>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</si>
  <si>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</si>
  <si>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</si>
  <si>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</si>
  <si>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</si>
  <si>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</si>
  <si>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</si>
  <si>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</si>
  <si>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</si>
  <si>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</si>
  <si>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</si>
  <si>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</si>
  <si>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</si>
  <si>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</si>
  <si>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</si>
  <si>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</si>
  <si>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</si>
  <si>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</si>
  <si>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</si>
  <si>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</si>
  <si>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</si>
  <si>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</si>
  <si>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</si>
  <si>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</si>
  <si>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</si>
  <si>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</si>
  <si>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</si>
  <si>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</si>
  <si>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</si>
  <si>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</si>
  <si>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</si>
  <si>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</si>
  <si>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</si>
  <si>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</si>
  <si>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</si>
  <si>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</si>
  <si>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</si>
  <si>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</si>
  <si>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</si>
  <si>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</si>
  <si>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</si>
  <si>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</si>
  <si>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</si>
  <si>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</si>
  <si>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</si>
  <si>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</si>
  <si>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</si>
  <si>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</si>
  <si>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</si>
  <si>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</si>
  <si>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</si>
  <si>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</si>
  <si>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</si>
  <si>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</si>
  <si>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</si>
  <si>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</si>
  <si>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</si>
  <si>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</si>
  <si>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</si>
  <si>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</si>
  <si>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</si>
  <si>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</si>
  <si>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</si>
  <si>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</si>
  <si>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</si>
  <si>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</si>
  <si>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</si>
  <si>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</si>
  <si>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</si>
  <si>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</si>
  <si>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</si>
  <si>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</si>
  <si>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</si>
  <si>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</si>
  <si>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</si>
  <si>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</si>
  <si>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</si>
  <si>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</si>
  <si>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</si>
  <si>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</si>
  <si>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</si>
  <si>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</si>
  <si>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</si>
  <si>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</si>
  <si>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</si>
  <si>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</si>
  <si>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</si>
  <si>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</si>
  <si>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</si>
  <si>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</si>
  <si>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</si>
  <si>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</si>
  <si>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</si>
  <si>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</si>
  <si>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</si>
  <si>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</si>
  <si>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</si>
  <si>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</si>
  <si>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</si>
  <si>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</si>
  <si>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</si>
  <si>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</si>
  <si>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</si>
  <si>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</si>
  <si>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</si>
  <si>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</si>
  <si>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</si>
  <si>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</si>
  <si>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</si>
  <si>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</si>
  <si>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</si>
  <si>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</si>
  <si>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</si>
  <si>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</si>
  <si>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</si>
  <si>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</si>
  <si>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</si>
  <si>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</si>
  <si>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</si>
  <si>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</si>
  <si>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</si>
  <si>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</si>
  <si>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</si>
  <si>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</si>
  <si>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</si>
  <si>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</si>
  <si>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</si>
  <si>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</si>
  <si>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</si>
  <si>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</si>
  <si>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</si>
  <si>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</si>
  <si>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</si>
  <si>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</si>
  <si>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</si>
  <si>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</si>
  <si>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</si>
  <si>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</si>
  <si>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</si>
  <si>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</si>
  <si>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</si>
  <si>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</si>
  <si>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</si>
  <si>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</si>
  <si>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</si>
  <si>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</si>
  <si>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</si>
  <si>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</si>
  <si>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</si>
  <si>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</si>
  <si>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</si>
  <si>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</si>
  <si>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</si>
  <si>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</si>
  <si>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</si>
  <si>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</si>
  <si>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</si>
  <si>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</si>
  <si>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</si>
  <si>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</si>
  <si>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</si>
  <si>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</si>
  <si>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</si>
  <si>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</si>
  <si>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</si>
  <si>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</si>
  <si>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</si>
  <si>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</si>
  <si>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</si>
  <si>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</si>
  <si>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</si>
  <si>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</si>
  <si>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</si>
  <si>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</si>
  <si>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</si>
  <si>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</si>
  <si>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</si>
  <si>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</si>
  <si>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</si>
  <si>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</si>
  <si>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</si>
  <si>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</si>
  <si>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</si>
  <si>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</si>
  <si>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</si>
  <si>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</si>
  <si>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</si>
  <si>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</si>
  <si>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</si>
  <si>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</si>
  <si>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</si>
  <si>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</si>
  <si>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</si>
  <si>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</si>
  <si>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</si>
  <si>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</si>
  <si>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</si>
  <si>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</si>
  <si>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</si>
  <si>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</si>
  <si>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</si>
  <si>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</si>
  <si>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</si>
  <si>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</si>
  <si>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</si>
  <si>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</si>
  <si>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</si>
  <si>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</si>
  <si>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</si>
  <si>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</si>
  <si>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</si>
  <si>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</si>
  <si>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</si>
  <si>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</si>
  <si>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</si>
  <si>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</si>
  <si>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</si>
  <si>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</si>
  <si>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</si>
  <si>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</si>
  <si>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</si>
  <si>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</si>
  <si>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</si>
  <si>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</si>
  <si>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</si>
  <si>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</si>
  <si>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</si>
  <si>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</si>
  <si>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</si>
  <si>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</si>
  <si>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</si>
  <si>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</si>
  <si>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</si>
  <si>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</si>
  <si>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</si>
  <si>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</si>
  <si>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</si>
  <si>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</si>
  <si>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</si>
  <si>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</si>
  <si>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</si>
  <si>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</si>
  <si>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</si>
  <si>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</si>
  <si>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</si>
  <si>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</si>
  <si>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</si>
  <si>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</si>
  <si>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</si>
  <si>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</si>
  <si>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</si>
  <si>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</si>
  <si>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</si>
  <si>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</si>
  <si>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</si>
  <si>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</si>
  <si>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</si>
  <si>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</si>
  <si>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</si>
  <si>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</si>
  <si>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</si>
  <si>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</si>
  <si>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</si>
  <si>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</si>
  <si>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</si>
  <si>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</si>
  <si>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</si>
  <si>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</si>
  <si>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</si>
  <si>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</si>
  <si>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</si>
  <si>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</si>
  <si>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</si>
  <si>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</si>
  <si>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</si>
  <si>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</si>
  <si>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</si>
  <si>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</si>
  <si>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</si>
  <si>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</si>
  <si>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</si>
  <si>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</si>
  <si>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</si>
  <si>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</si>
  <si>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</si>
  <si>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</si>
  <si>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</si>
  <si>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</si>
  <si>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</si>
  <si>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</si>
  <si>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</si>
  <si>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</si>
  <si>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</si>
  <si>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</si>
  <si>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</si>
  <si>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</si>
  <si>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</si>
  <si>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</si>
  <si>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</si>
  <si>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</si>
  <si>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</si>
  <si>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</si>
  <si>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</si>
  <si>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</si>
  <si>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</si>
  <si>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</si>
  <si>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</si>
  <si>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</si>
  <si>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</si>
  <si>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</si>
  <si>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</si>
  <si>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</si>
  <si>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</si>
  <si>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</si>
  <si>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</si>
  <si>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</si>
  <si>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</si>
  <si>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</si>
  <si>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</si>
  <si>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</si>
  <si>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</si>
  <si>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</si>
  <si>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</si>
  <si>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</si>
  <si>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</si>
  <si>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</si>
  <si>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</si>
  <si>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</si>
  <si>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</si>
  <si>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</si>
  <si>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</si>
  <si>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</si>
  <si>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</si>
  <si>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</si>
  <si>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</si>
  <si>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</si>
  <si>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</si>
  <si>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</si>
  <si>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</si>
  <si>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</si>
  <si>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</si>
  <si>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</si>
  <si>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</si>
  <si>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</si>
  <si>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</si>
  <si>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</si>
  <si>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</si>
  <si>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</si>
  <si>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</si>
  <si>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</si>
  <si>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</si>
  <si>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</si>
  <si>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</si>
  <si>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</si>
  <si>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</si>
  <si>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</si>
  <si>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</si>
  <si>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</si>
  <si>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</si>
  <si>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</si>
  <si>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</si>
  <si>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</si>
  <si>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</si>
  <si>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</si>
  <si>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</si>
  <si>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</si>
  <si>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</si>
  <si>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</si>
  <si>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</si>
  <si>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</si>
  <si>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</si>
  <si>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</si>
  <si>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</si>
  <si>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</si>
  <si>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</si>
  <si>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</si>
  <si>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</si>
  <si>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</si>
  <si>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</si>
  <si>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</si>
  <si>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</si>
  <si>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</si>
  <si>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</si>
  <si>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</si>
  <si>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</si>
  <si>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</si>
  <si>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</si>
  <si>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</si>
  <si>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</si>
  <si>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</si>
  <si>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</si>
  <si>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</si>
  <si>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</si>
  <si>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</si>
  <si>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</si>
  <si>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</si>
  <si>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</si>
  <si>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</si>
  <si>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</si>
  <si>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</si>
  <si>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</si>
  <si>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</si>
  <si>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</si>
  <si>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</si>
  <si>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</si>
  <si>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</si>
  <si>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</si>
  <si>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</si>
  <si>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</si>
  <si>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</si>
  <si>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</si>
  <si>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</si>
  <si>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</si>
  <si>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</si>
  <si>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</si>
  <si>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</si>
  <si>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</si>
  <si>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</si>
  <si>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</si>
  <si>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</si>
  <si>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</si>
  <si>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</si>
  <si>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</si>
  <si>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</si>
  <si>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</si>
  <si>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</si>
  <si>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</si>
  <si>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</si>
  <si>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</si>
  <si>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</si>
  <si>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</si>
  <si>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</si>
  <si>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</si>
  <si>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</si>
  <si>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</si>
  <si>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</si>
  <si>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</si>
  <si>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</si>
  <si>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</si>
  <si>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</si>
  <si>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</si>
  <si>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</si>
  <si>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</si>
  <si>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</si>
  <si>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</si>
  <si>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</si>
  <si>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</si>
  <si>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</si>
  <si>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</si>
  <si>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</si>
  <si>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</si>
  <si>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</si>
  <si>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</si>
  <si>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</si>
  <si>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</si>
  <si>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</si>
  <si>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</si>
  <si>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</si>
  <si>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</si>
  <si>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</si>
  <si>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</si>
  <si>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</si>
  <si>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</si>
  <si>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</si>
  <si>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</si>
  <si>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</si>
  <si>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</si>
  <si>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</si>
  <si>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</si>
  <si>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</si>
  <si>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</si>
  <si>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</si>
  <si>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</si>
  <si>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</si>
  <si>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</si>
  <si>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</si>
  <si>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</si>
  <si>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</si>
  <si>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</si>
  <si>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</si>
  <si>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</si>
  <si>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</si>
  <si>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</si>
  <si>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</si>
  <si>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</si>
  <si>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</si>
  <si>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</si>
  <si>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</si>
  <si>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</si>
  <si>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</si>
  <si>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</si>
  <si>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</si>
  <si>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</si>
  <si>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</si>
  <si>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</si>
  <si>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</si>
  <si>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</si>
  <si>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</si>
  <si>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</si>
  <si>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</si>
  <si>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</si>
  <si>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</si>
  <si>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</si>
  <si>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</si>
  <si>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</si>
  <si>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</si>
  <si>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</si>
  <si>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</si>
  <si>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</si>
  <si>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</si>
  <si>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</si>
  <si>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</si>
  <si>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</si>
  <si>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</si>
  <si>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</si>
  <si>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</si>
  <si>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</si>
  <si>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</si>
  <si>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</si>
  <si>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</si>
  <si>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</si>
  <si>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</si>
  <si>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</si>
  <si>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</si>
  <si>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</si>
  <si>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</si>
  <si>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</si>
  <si>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</si>
  <si>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</si>
  <si>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</si>
  <si>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</si>
  <si>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</si>
  <si>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</si>
  <si>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</si>
  <si>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</si>
  <si>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</si>
  <si>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</si>
  <si>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</si>
  <si>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</si>
  <si>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</si>
  <si>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</si>
  <si>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</si>
  <si>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</si>
  <si>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</si>
  <si>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</si>
  <si>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</si>
  <si>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</si>
  <si>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</si>
  <si>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</si>
  <si>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</si>
  <si>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</si>
  <si>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</si>
  <si>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</si>
  <si>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</si>
  <si>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</si>
  <si>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</si>
  <si>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</si>
  <si>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</si>
  <si>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</si>
  <si>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</si>
  <si>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</si>
  <si>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</si>
  <si>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</si>
  <si>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</si>
  <si>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</si>
  <si>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</si>
  <si>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</si>
  <si>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</si>
  <si>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</si>
  <si>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</si>
  <si>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</si>
  <si>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</si>
  <si>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</si>
  <si>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</si>
  <si>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</si>
  <si>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</si>
  <si>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</si>
  <si>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</si>
  <si>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</si>
  <si>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</si>
  <si>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</si>
  <si>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</si>
  <si>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</si>
  <si>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</si>
  <si>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</si>
  <si>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</si>
  <si>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</si>
  <si>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</si>
  <si>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</si>
  <si>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</si>
  <si>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</si>
  <si>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</si>
  <si>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</si>
  <si>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</si>
  <si>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</si>
  <si>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</si>
  <si>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</si>
  <si>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</si>
  <si>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</si>
  <si>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</si>
  <si>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</si>
  <si>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</si>
  <si>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</si>
  <si>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</si>
  <si>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</si>
  <si>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</si>
  <si>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</si>
  <si>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</si>
  <si>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</si>
  <si>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</si>
  <si>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</si>
  <si>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</si>
  <si>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</si>
  <si>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</si>
  <si>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</si>
  <si>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</si>
  <si>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</si>
  <si>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</si>
  <si>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</si>
  <si>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</si>
  <si>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</si>
  <si>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</si>
  <si>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</si>
  <si>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</si>
  <si>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</si>
  <si>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</si>
  <si>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</si>
  <si>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</si>
  <si>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</si>
  <si>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</si>
  <si>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</si>
  <si>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</si>
  <si>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</si>
  <si>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</si>
  <si>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</si>
  <si>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</si>
  <si>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</si>
  <si>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</si>
  <si>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</si>
  <si>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</si>
  <si>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</si>
  <si>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</si>
  <si>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</si>
  <si>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</si>
  <si>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</si>
  <si>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</si>
  <si>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</si>
  <si>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</si>
  <si>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</si>
  <si>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</si>
  <si>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</si>
  <si>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</si>
  <si>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</si>
  <si>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</si>
  <si>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</si>
  <si>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</si>
  <si>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</si>
  <si>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</si>
  <si>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</si>
  <si>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</si>
  <si>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</si>
  <si>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</si>
  <si>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</si>
  <si>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</si>
  <si>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</si>
  <si>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</si>
  <si>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</si>
  <si>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</si>
  <si>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</si>
  <si>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</si>
  <si>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</si>
  <si>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</si>
  <si>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</si>
  <si>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</si>
  <si>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</si>
  <si>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</si>
  <si>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</si>
  <si>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</si>
  <si>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</si>
  <si>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</si>
  <si>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</si>
  <si>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</si>
  <si>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</si>
  <si>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</si>
  <si>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</si>
  <si>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</si>
  <si>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</si>
  <si>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</si>
  <si>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</si>
  <si>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</si>
  <si>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</si>
  <si>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</si>
  <si>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</si>
  <si>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</si>
  <si>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</si>
  <si>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</si>
  <si>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</si>
  <si>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</si>
  <si>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</si>
  <si>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</si>
  <si>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</si>
  <si>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</si>
  <si>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</si>
  <si>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</si>
  <si>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</si>
  <si>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</si>
  <si>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</si>
  <si>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</si>
  <si>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</si>
  <si>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</si>
  <si>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</si>
  <si>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</si>
  <si>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</si>
  <si>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</si>
  <si>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</si>
  <si>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</si>
  <si>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</si>
  <si>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</si>
  <si>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</si>
  <si>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</si>
  <si>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</si>
  <si>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</si>
  <si>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</si>
  <si>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</si>
  <si>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</si>
  <si>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</si>
  <si>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</si>
  <si>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</si>
  <si>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</si>
  <si>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</si>
  <si>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</si>
  <si>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</si>
  <si>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</si>
  <si>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</si>
  <si>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</si>
  <si>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</si>
  <si>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</si>
  <si>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</si>
  <si>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</si>
  <si>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</si>
  <si>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</si>
  <si>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</si>
  <si>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</si>
  <si>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</si>
  <si>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</si>
  <si>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</si>
  <si>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</si>
  <si>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</si>
  <si>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</si>
  <si>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</si>
  <si>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</si>
  <si>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</si>
  <si>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</si>
  <si>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</si>
  <si>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</si>
  <si>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</si>
  <si>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</si>
  <si>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</si>
  <si>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</si>
  <si>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</si>
  <si>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</si>
  <si>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</si>
  <si>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</si>
  <si>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</si>
  <si>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</si>
  <si>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</si>
  <si>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</si>
  <si>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</si>
  <si>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</si>
  <si>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</si>
  <si>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</si>
  <si>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</si>
  <si>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</si>
  <si>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</si>
  <si>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</si>
  <si>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</si>
  <si>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</si>
  <si>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</si>
  <si>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</si>
  <si>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</si>
  <si>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</si>
  <si>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</si>
  <si>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</si>
  <si>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</si>
  <si>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</si>
  <si>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</si>
  <si>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</si>
  <si>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</si>
  <si>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</si>
  <si>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</si>
  <si>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</si>
  <si>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</si>
  <si>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</si>
  <si>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</si>
  <si>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</si>
  <si>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</si>
  <si>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</si>
  <si>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</si>
  <si>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</si>
  <si>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</si>
  <si>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</si>
  <si>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</si>
  <si>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</si>
  <si>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</si>
  <si>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</si>
  <si>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</si>
  <si>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</si>
  <si>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</si>
  <si>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</si>
  <si>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</si>
  <si>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</si>
  <si>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</si>
  <si>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</si>
  <si>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</si>
  <si>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</si>
  <si>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</si>
  <si>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</si>
  <si>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</si>
  <si>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</si>
  <si>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</si>
  <si>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</si>
  <si>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</si>
  <si>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</si>
  <si>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</si>
  <si>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</si>
  <si>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</si>
  <si>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</si>
  <si>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</si>
  <si>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</si>
  <si>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</si>
  <si>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</si>
  <si>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</si>
  <si>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</si>
  <si>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</si>
  <si>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</si>
  <si>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</si>
  <si>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</si>
  <si>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</si>
  <si>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</si>
  <si>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</si>
  <si>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</si>
  <si>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</si>
  <si>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</si>
  <si>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</si>
  <si>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</si>
  <si>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</si>
  <si>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</si>
  <si>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</si>
  <si>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</si>
  <si>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</si>
  <si>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</si>
  <si>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</si>
  <si>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</si>
  <si>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</si>
  <si>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</si>
  <si>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</si>
  <si>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</si>
  <si>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</si>
  <si>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</si>
  <si>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</si>
  <si>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</si>
  <si>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</si>
  <si>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</si>
  <si>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</si>
  <si>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</si>
  <si>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</si>
  <si>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</si>
  <si>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</si>
  <si>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</si>
  <si>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</si>
  <si>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</si>
  <si>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</si>
  <si>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</si>
  <si>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</si>
  <si>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</si>
  <si>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</si>
  <si>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</si>
  <si>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</si>
  <si>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</si>
  <si>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</si>
  <si>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</si>
  <si>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</si>
  <si>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</si>
  <si>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</si>
  <si>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</si>
  <si>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</si>
  <si>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</si>
  <si>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</si>
  <si>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</si>
  <si>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</si>
  <si>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</si>
  <si>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</si>
  <si>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</si>
  <si>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</si>
  <si>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</si>
  <si>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</si>
  <si>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</si>
  <si>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</si>
  <si>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</si>
  <si>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</si>
  <si>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</si>
  <si>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</si>
  <si>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</si>
  <si>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</si>
  <si>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</si>
  <si>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</si>
  <si>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</si>
  <si>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</si>
  <si>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</si>
  <si>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</si>
  <si>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</si>
  <si>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</si>
  <si>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</si>
  <si>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</si>
  <si>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</si>
  <si>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</si>
  <si>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</si>
  <si>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</si>
  <si>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</si>
  <si>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</si>
  <si>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</si>
  <si>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</si>
  <si>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</si>
  <si>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</si>
  <si>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</si>
  <si>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</si>
  <si>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</si>
  <si>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</si>
  <si>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</si>
  <si>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</si>
  <si>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</si>
  <si>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</si>
  <si>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</si>
  <si>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</si>
  <si>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</si>
  <si>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</si>
  <si>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</si>
  <si>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</si>
  <si>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</si>
  <si>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</si>
  <si>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</si>
  <si>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</si>
  <si>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</si>
  <si>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</si>
  <si>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</si>
  <si>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</si>
  <si>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</si>
  <si>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</si>
  <si>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</si>
  <si>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</si>
  <si>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</si>
  <si>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</si>
  <si>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</si>
  <si>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</si>
  <si>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</si>
  <si>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</si>
  <si>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</si>
  <si>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</si>
  <si>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</si>
  <si>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</si>
  <si>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</si>
  <si>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</si>
  <si>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</si>
  <si>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</si>
  <si>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</si>
  <si>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</si>
  <si>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</si>
  <si>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</si>
  <si>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</si>
  <si>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</si>
  <si>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</si>
  <si>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</si>
  <si>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</si>
  <si>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</si>
  <si>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</si>
  <si>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</si>
  <si>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</si>
  <si>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</si>
  <si>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</si>
  <si>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</si>
  <si>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</si>
  <si>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</si>
  <si>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</si>
  <si>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</si>
  <si>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</si>
  <si>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</si>
  <si>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</si>
  <si>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</si>
  <si>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</si>
  <si>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</si>
  <si>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</si>
  <si>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</si>
  <si>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</si>
  <si>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</si>
  <si>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</si>
  <si>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</si>
  <si>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</si>
  <si>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</si>
  <si>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</si>
  <si>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</si>
  <si>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</si>
  <si>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</si>
  <si>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</si>
  <si>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</si>
  <si>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</si>
  <si>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</si>
  <si>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</si>
  <si>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</si>
  <si>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</si>
  <si>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</si>
  <si>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</si>
  <si>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</si>
  <si>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</si>
  <si>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</si>
  <si>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</si>
  <si>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</si>
  <si>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</si>
  <si>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</si>
  <si>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</si>
  <si>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</si>
  <si>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</si>
  <si>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</si>
  <si>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</si>
  <si>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</si>
  <si>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</si>
  <si>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</si>
  <si>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</si>
  <si>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</si>
  <si>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</si>
  <si>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</si>
  <si>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</si>
  <si>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</si>
  <si>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</si>
  <si>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</si>
  <si>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</si>
  <si>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</si>
  <si>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</si>
  <si>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</si>
  <si>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</si>
  <si>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</si>
  <si>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</si>
  <si>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</si>
  <si>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</si>
  <si>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</si>
  <si>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</si>
  <si>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</si>
  <si>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</si>
  <si>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</si>
  <si>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</si>
  <si>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</si>
  <si>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</si>
  <si>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</si>
  <si>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</si>
  <si>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</si>
  <si>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</si>
  <si>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</si>
  <si>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</si>
  <si>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</si>
  <si>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</si>
  <si>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</si>
  <si>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</si>
  <si>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</si>
  <si>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</si>
  <si>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</si>
  <si>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</si>
  <si>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</si>
  <si>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</si>
  <si>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</si>
  <si>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</si>
  <si>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</si>
  <si>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</si>
  <si>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</si>
  <si>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</si>
  <si>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</si>
  <si>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</si>
  <si>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</si>
  <si>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</si>
  <si>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</si>
  <si>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</si>
  <si>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</si>
  <si>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</si>
  <si>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</si>
  <si>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</si>
  <si>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</si>
  <si>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</si>
  <si>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</si>
  <si>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</si>
  <si>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</si>
  <si>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</si>
  <si>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</si>
  <si>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</si>
  <si>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</si>
  <si>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</si>
  <si>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</si>
  <si>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</si>
  <si>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</si>
  <si>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</si>
  <si>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</si>
  <si>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</si>
  <si>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</si>
  <si>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</si>
  <si>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</si>
  <si>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</si>
  <si>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</si>
  <si>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</si>
  <si>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</si>
  <si>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</si>
  <si>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</si>
  <si>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</si>
  <si>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</si>
  <si>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</si>
  <si>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</si>
  <si>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</si>
  <si>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</si>
  <si>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</si>
  <si>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</si>
  <si>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</si>
  <si>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</si>
  <si>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</si>
  <si>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</si>
  <si>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</si>
  <si>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</si>
  <si>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</si>
  <si>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</si>
  <si>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</si>
  <si>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</si>
  <si>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</si>
  <si>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</si>
  <si>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</si>
  <si>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</si>
  <si>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</si>
  <si>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</si>
  <si>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</si>
  <si>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</si>
  <si>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</si>
  <si>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</si>
  <si>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</si>
  <si>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</si>
  <si>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</si>
  <si>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</si>
  <si>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</si>
  <si>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</si>
  <si>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</si>
  <si>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</si>
  <si>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</si>
  <si>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</si>
  <si>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</si>
  <si>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</si>
  <si>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</si>
  <si>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</si>
  <si>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</si>
  <si>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</si>
  <si>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</si>
  <si>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</si>
  <si>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</si>
  <si>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</si>
  <si>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</si>
  <si>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</si>
  <si>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</si>
  <si>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</si>
  <si>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</si>
  <si>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</si>
  <si>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</si>
  <si>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</si>
  <si>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</si>
  <si>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</si>
  <si>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</si>
  <si>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</si>
  <si>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</si>
  <si>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</si>
  <si>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</si>
  <si>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</si>
  <si>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</si>
  <si>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</si>
  <si>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</si>
  <si>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</si>
  <si>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</si>
  <si>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</si>
  <si>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</si>
  <si>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</si>
  <si>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</si>
  <si>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</si>
  <si>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</si>
  <si>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</si>
  <si>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</si>
  <si>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</si>
  <si>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</si>
  <si>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</si>
  <si>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</si>
  <si>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</si>
  <si>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</si>
  <si>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</si>
  <si>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</si>
  <si>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</si>
  <si>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</si>
  <si>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</si>
  <si>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</si>
  <si>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</si>
  <si>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</si>
  <si>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</si>
  <si>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</si>
  <si>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</si>
  <si>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</si>
  <si>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</si>
  <si>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</si>
  <si>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</si>
  <si>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</si>
  <si>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</si>
  <si>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</si>
  <si>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</si>
  <si>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</si>
  <si>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</si>
  <si>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</si>
  <si>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</si>
  <si>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</si>
  <si>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</si>
  <si>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</si>
  <si>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</si>
  <si>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</si>
  <si>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</si>
  <si>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</si>
  <si>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</si>
  <si>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</si>
  <si>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</si>
  <si>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</si>
  <si>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</si>
  <si>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</si>
  <si>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</si>
  <si>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</si>
  <si>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</si>
  <si>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</si>
  <si>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</si>
  <si>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</si>
  <si>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</si>
  <si>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</si>
  <si>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</si>
  <si>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</si>
  <si>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</si>
  <si>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</si>
  <si>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</si>
  <si>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</si>
  <si>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</si>
  <si>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</si>
  <si>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</si>
  <si>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</si>
  <si>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</si>
  <si>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</si>
  <si>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</si>
  <si>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</si>
  <si>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</si>
  <si>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</si>
  <si>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</si>
  <si>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</si>
  <si>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</si>
  <si>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</si>
  <si>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</si>
  <si>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</si>
  <si>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</si>
  <si>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</si>
  <si>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</si>
  <si>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</si>
  <si>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</si>
  <si>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</si>
  <si>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</si>
  <si>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</si>
  <si>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</si>
  <si>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</si>
  <si>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</si>
  <si>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</si>
  <si>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</si>
  <si>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</si>
  <si>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</si>
  <si>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</si>
  <si>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</si>
  <si>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</si>
  <si>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</si>
  <si>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</si>
  <si>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</si>
  <si>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</si>
  <si>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</si>
  <si>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</si>
  <si>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</si>
  <si>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</si>
  <si>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</si>
  <si>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</si>
  <si>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</si>
  <si>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</si>
  <si>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</si>
  <si>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</si>
  <si>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</si>
  <si>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</si>
  <si>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</si>
  <si>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</si>
  <si>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</si>
  <si>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</si>
  <si>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</si>
  <si>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</si>
  <si>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</si>
  <si>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</si>
  <si>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</si>
  <si>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</si>
  <si>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</si>
  <si>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</si>
  <si>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</si>
  <si>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</si>
  <si>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</si>
  <si>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</si>
  <si>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</si>
  <si>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</si>
  <si>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</si>
  <si>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</si>
  <si>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</si>
  <si>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</si>
  <si>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</si>
  <si>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</si>
  <si>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</si>
  <si>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</si>
  <si>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</si>
  <si>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</si>
  <si>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</si>
  <si>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</si>
  <si>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</si>
  <si>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</si>
  <si>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</si>
  <si>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</si>
  <si>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</si>
  <si>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</si>
  <si>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</si>
  <si>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</si>
  <si>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</si>
  <si>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</si>
  <si>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</si>
  <si>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</si>
  <si>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</si>
  <si>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</si>
  <si>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</si>
  <si>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</si>
  <si>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</si>
  <si>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</si>
  <si>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</si>
  <si>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</si>
  <si>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</si>
  <si>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</si>
  <si>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</si>
  <si>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</si>
  <si>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</si>
  <si>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</si>
  <si>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</si>
  <si>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</si>
  <si>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</si>
  <si>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</si>
  <si>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</si>
  <si>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</si>
  <si>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</si>
  <si>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</si>
  <si>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</si>
  <si>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</si>
  <si>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</si>
  <si>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</si>
  <si>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</si>
  <si>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</si>
  <si>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</si>
  <si>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</si>
  <si>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</si>
  <si>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</si>
  <si>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</si>
  <si>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</si>
  <si>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</si>
  <si>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</si>
  <si>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</si>
  <si>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</si>
  <si>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</si>
  <si>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</si>
  <si>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</si>
  <si>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</si>
  <si>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</si>
  <si>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</si>
  <si>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</si>
  <si>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</si>
  <si>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</si>
  <si>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</si>
  <si>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</si>
  <si>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</si>
  <si>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</si>
  <si>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</si>
  <si>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</si>
  <si>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</si>
  <si>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</si>
  <si>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</si>
  <si>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</si>
  <si>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</si>
  <si>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</si>
  <si>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</si>
  <si>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</si>
  <si>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</si>
  <si>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</si>
  <si>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</si>
  <si>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</si>
  <si>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</si>
  <si>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</si>
  <si>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</si>
  <si>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</si>
  <si>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</si>
  <si>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</si>
  <si>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</si>
  <si>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</si>
  <si>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</si>
  <si>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</si>
  <si>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</si>
  <si>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</si>
  <si>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</si>
  <si>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</si>
  <si>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</si>
  <si>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</si>
  <si>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</si>
  <si>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</si>
  <si>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</si>
  <si>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</si>
  <si>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</si>
  <si>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</si>
  <si>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</si>
  <si>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</si>
  <si>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</si>
  <si>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</si>
  <si>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</si>
  <si>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</si>
  <si>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</si>
  <si>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</si>
  <si>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</si>
  <si>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</si>
  <si>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</si>
  <si>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</si>
  <si>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</si>
  <si>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</si>
  <si>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</si>
  <si>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</si>
  <si>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</si>
  <si>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</si>
  <si>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</si>
  <si>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</si>
  <si>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</si>
  <si>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</si>
  <si>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</si>
  <si>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</si>
  <si>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</si>
  <si>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</si>
  <si>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</si>
  <si>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</si>
  <si>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</si>
  <si>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</si>
  <si>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</si>
  <si>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</si>
  <si>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</si>
  <si>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</si>
  <si>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</si>
  <si>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</si>
  <si>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</si>
  <si>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</si>
  <si>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</si>
  <si>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</si>
  <si>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</si>
  <si>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</si>
  <si>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</si>
  <si>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</si>
  <si>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</si>
  <si>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</si>
  <si>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</si>
  <si>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</si>
  <si>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</si>
  <si>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</si>
  <si>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</si>
  <si>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</si>
  <si>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</si>
  <si>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</si>
  <si>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</si>
  <si>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</si>
  <si>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</si>
  <si>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</si>
  <si>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</si>
  <si>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</si>
  <si>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</si>
  <si>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</si>
  <si>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</si>
  <si>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</si>
  <si>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</si>
  <si>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</si>
  <si>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</si>
  <si>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</si>
  <si>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</si>
  <si>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</si>
  <si>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</si>
  <si>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</si>
  <si>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</si>
  <si>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</si>
  <si>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</si>
  <si>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</si>
  <si>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</si>
  <si>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</si>
  <si>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</si>
  <si>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</si>
  <si>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</si>
  <si>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</si>
  <si>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</si>
  <si>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</si>
  <si>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</si>
  <si>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</si>
  <si>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</si>
  <si>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</si>
  <si>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</si>
  <si>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</si>
  <si>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</si>
  <si>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</si>
  <si>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</si>
  <si>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</si>
  <si>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</si>
  <si>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</si>
  <si>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</si>
  <si>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</si>
  <si>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</si>
  <si>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</si>
  <si>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</si>
  <si>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</si>
  <si>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</si>
  <si>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</si>
  <si>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</si>
  <si>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</si>
  <si>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</si>
  <si>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</si>
  <si>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</si>
  <si>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</si>
  <si>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</si>
  <si>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</si>
  <si>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</si>
  <si>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</si>
  <si>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</si>
  <si>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</si>
  <si>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</si>
  <si>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</si>
  <si>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</si>
  <si>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</si>
  <si>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</si>
  <si>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</si>
  <si>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</si>
  <si>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</si>
  <si>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</si>
  <si>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</si>
  <si>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</si>
  <si>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</si>
  <si>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</si>
  <si>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</si>
  <si>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</si>
  <si>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</si>
  <si>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</si>
  <si>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</si>
  <si>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</si>
  <si>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</si>
  <si>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</si>
  <si>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</si>
  <si>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</si>
  <si>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</si>
  <si>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</si>
  <si>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</si>
  <si>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</si>
  <si>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</si>
  <si>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</si>
  <si>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</si>
  <si>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</si>
  <si>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</si>
  <si>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</si>
  <si>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</si>
  <si>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</si>
  <si>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</si>
  <si>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</si>
  <si>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</si>
  <si>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</si>
  <si>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</si>
  <si>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</si>
  <si>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</si>
  <si>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</si>
  <si>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</si>
  <si>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</si>
  <si>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</si>
  <si>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</si>
  <si>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</si>
  <si>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</si>
  <si>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</si>
  <si>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</si>
  <si>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</si>
  <si>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</si>
  <si>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</si>
  <si>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</si>
  <si>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</si>
  <si>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</si>
  <si>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</si>
  <si>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</si>
  <si>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</si>
  <si>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</si>
  <si>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</si>
  <si>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</si>
  <si>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</si>
  <si>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</si>
  <si>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</si>
  <si>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</si>
  <si>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</si>
  <si>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</si>
  <si>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</si>
  <si>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</si>
  <si>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</si>
  <si>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</si>
  <si>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</si>
  <si>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</si>
  <si>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</si>
  <si>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</si>
  <si>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</si>
  <si>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</si>
  <si>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</si>
  <si>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</si>
  <si>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</si>
  <si>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</si>
  <si>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</si>
  <si>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</si>
  <si>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</si>
  <si>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</si>
  <si>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</si>
  <si>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</si>
  <si>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</si>
  <si>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</si>
  <si>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</si>
  <si>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</si>
  <si>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</si>
  <si>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</si>
  <si>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</si>
  <si>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</si>
  <si>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</si>
  <si>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</si>
  <si>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</si>
  <si>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</si>
  <si>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</si>
  <si>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</si>
  <si>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</si>
  <si>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</si>
  <si>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</si>
  <si>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</si>
  <si>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</si>
  <si>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</si>
  <si>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</si>
  <si>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</si>
  <si>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</si>
  <si>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</si>
  <si>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</si>
  <si>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</si>
  <si>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</si>
  <si>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</si>
  <si>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</si>
  <si>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</si>
  <si>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</si>
  <si>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</si>
  <si>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</si>
  <si>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</si>
  <si>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</si>
  <si>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</si>
  <si>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</si>
  <si>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</si>
  <si>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</si>
  <si>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</si>
  <si>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</si>
  <si>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</si>
  <si>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</si>
  <si>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</si>
  <si>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</si>
  <si>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</si>
  <si>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</si>
  <si>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</si>
  <si>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</si>
  <si>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</si>
  <si>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</si>
  <si>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</si>
  <si>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</si>
  <si>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</si>
  <si>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</si>
  <si>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</si>
  <si>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</si>
  <si>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</si>
  <si>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</si>
  <si>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</si>
  <si>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</si>
  <si>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</si>
  <si>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</si>
  <si>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</si>
  <si>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</si>
  <si>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</si>
  <si>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</si>
  <si>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</si>
  <si>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</si>
  <si>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</si>
  <si>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</si>
  <si>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</si>
  <si>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</si>
  <si>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</si>
  <si>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</si>
  <si>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</si>
  <si>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</si>
  <si>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</si>
  <si>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</si>
  <si>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</si>
  <si>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</si>
  <si>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</si>
  <si>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</si>
  <si>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</si>
  <si>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</si>
  <si>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</si>
  <si>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</si>
  <si>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</si>
  <si>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</si>
  <si>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</si>
  <si>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</si>
  <si>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</si>
  <si>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</si>
  <si>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</si>
  <si>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</si>
  <si>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</si>
  <si>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</si>
  <si>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</si>
  <si>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</si>
  <si>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</si>
  <si>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</si>
  <si>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</si>
  <si>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</si>
  <si>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</si>
  <si>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</si>
  <si>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</si>
  <si>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</si>
  <si>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</si>
  <si>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</si>
  <si>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</si>
  <si>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</si>
  <si>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</si>
  <si>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</si>
  <si>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</si>
  <si>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</si>
  <si>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</si>
  <si>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</si>
  <si>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</si>
  <si>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</si>
  <si>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</si>
  <si>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</si>
  <si>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</si>
  <si>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</si>
  <si>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</si>
  <si>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</si>
  <si>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</si>
  <si>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</si>
  <si>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</si>
  <si>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</si>
  <si>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</si>
  <si>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</si>
  <si>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</si>
  <si>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</si>
  <si>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</si>
  <si>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</si>
  <si>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</si>
  <si>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</si>
  <si>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</si>
  <si>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</si>
  <si>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</si>
  <si>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</si>
  <si>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</si>
  <si>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</si>
  <si>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</si>
  <si>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</si>
  <si>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</si>
  <si>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</si>
  <si>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</si>
  <si>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</si>
  <si>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</si>
  <si>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</si>
  <si>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</si>
  <si>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</si>
  <si>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</si>
  <si>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</si>
  <si>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</si>
  <si>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</si>
  <si>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</si>
  <si>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</si>
  <si>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</si>
  <si>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</si>
  <si>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</si>
  <si>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</si>
  <si>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</si>
  <si>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</si>
  <si>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</si>
  <si>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</si>
  <si>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</si>
  <si>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</si>
  <si>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</si>
  <si>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</si>
  <si>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</si>
  <si>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</si>
  <si>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</si>
  <si>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</si>
  <si>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</si>
  <si>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</si>
  <si>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</si>
  <si>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</si>
  <si>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</si>
  <si>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</si>
  <si>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</si>
  <si>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</si>
  <si>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</si>
  <si>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</si>
  <si>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</si>
  <si>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</si>
  <si>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</si>
  <si>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</si>
  <si>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</si>
  <si>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</si>
  <si>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</si>
  <si>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</si>
  <si>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</si>
  <si>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</si>
  <si>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</si>
  <si>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</si>
  <si>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</si>
  <si>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</si>
  <si>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</si>
  <si>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</si>
  <si>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</si>
  <si>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</si>
  <si>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</si>
  <si>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</si>
  <si>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</si>
  <si>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</si>
  <si>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</si>
  <si>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</si>
  <si>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</si>
  <si>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</si>
  <si>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</si>
  <si>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</si>
  <si>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</si>
  <si>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</si>
  <si>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</si>
  <si>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</si>
  <si>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</si>
  <si>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</si>
  <si>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</si>
  <si>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</si>
  <si>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</si>
  <si>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</si>
  <si>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</si>
  <si>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</si>
  <si>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</si>
  <si>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</si>
  <si>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</si>
  <si>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</si>
  <si>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</si>
  <si>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</si>
  <si>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</si>
  <si>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</si>
  <si>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</si>
  <si>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</si>
  <si>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</si>
  <si>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</si>
  <si>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</si>
  <si>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</si>
  <si>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</si>
  <si>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</si>
  <si>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</si>
  <si>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</si>
  <si>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</si>
  <si>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</si>
  <si>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</si>
  <si>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</si>
  <si>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</si>
  <si>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</si>
  <si>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</si>
  <si>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</si>
  <si>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</si>
  <si>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</si>
  <si>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</si>
  <si>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</si>
  <si>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</si>
  <si>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</si>
  <si>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</si>
  <si>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</si>
  <si>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</si>
  <si>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</si>
  <si>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</si>
  <si>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</si>
  <si>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</si>
  <si>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</si>
  <si>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</si>
  <si>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</si>
  <si>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</si>
  <si>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</si>
  <si>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</si>
  <si>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</si>
  <si>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</si>
  <si>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</si>
  <si>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</si>
  <si>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</si>
  <si>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</si>
  <si>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</si>
  <si>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</si>
  <si>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</si>
  <si>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</si>
  <si>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</si>
  <si>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</si>
  <si>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</si>
  <si>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</si>
  <si>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</si>
  <si>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</si>
  <si>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</si>
  <si>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</si>
  <si>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</si>
  <si>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</si>
  <si>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</si>
  <si>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</si>
  <si>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</si>
  <si>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</si>
  <si>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</si>
  <si>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</si>
  <si>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</si>
  <si>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</si>
  <si>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</si>
  <si>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</si>
  <si>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</si>
  <si>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</si>
  <si>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</si>
  <si>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</si>
  <si>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</si>
  <si>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</si>
  <si>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</si>
  <si>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</si>
  <si>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</si>
  <si>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</si>
  <si>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</si>
  <si>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</si>
  <si>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</si>
  <si>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</si>
  <si>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</si>
  <si>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</si>
  <si>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</si>
  <si>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</si>
  <si>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</si>
  <si>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</si>
  <si>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</si>
  <si>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</si>
  <si>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</si>
  <si>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</si>
  <si>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</si>
  <si>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</si>
  <si>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</si>
  <si>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</si>
  <si>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</si>
  <si>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</si>
  <si>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</si>
  <si>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</si>
  <si>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</si>
  <si>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</si>
  <si>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</si>
  <si>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</si>
  <si>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</si>
  <si>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</si>
  <si>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</si>
  <si>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</si>
  <si>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</si>
  <si>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</si>
  <si>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</si>
  <si>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</si>
  <si>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</si>
  <si>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</si>
  <si>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</si>
  <si>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</si>
  <si>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</si>
  <si>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</si>
  <si>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</si>
  <si>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</si>
  <si>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</si>
  <si>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</si>
  <si>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</si>
  <si>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</si>
  <si>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</si>
  <si>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</si>
  <si>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</si>
  <si>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</si>
  <si>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</si>
  <si>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</si>
  <si>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</si>
  <si>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</si>
  <si>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</si>
  <si>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</si>
  <si>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</si>
  <si>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</si>
  <si>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</si>
  <si>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</si>
  <si>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</si>
  <si>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</si>
  <si>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</si>
  <si>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</si>
  <si>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</si>
  <si>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</si>
  <si>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</si>
  <si>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</si>
  <si>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</si>
  <si>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</si>
  <si>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</si>
  <si>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</si>
  <si>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</si>
  <si>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</si>
  <si>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</si>
  <si>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</si>
  <si>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</si>
  <si>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</si>
  <si>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</si>
  <si>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</si>
  <si>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</si>
  <si>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</si>
  <si>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</si>
  <si>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</si>
  <si>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</si>
  <si>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</si>
  <si>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</si>
  <si>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</si>
  <si>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</si>
  <si>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</si>
  <si>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</si>
  <si>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</si>
  <si>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</si>
  <si>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</si>
  <si>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</si>
  <si>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</si>
  <si>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</si>
  <si>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</si>
  <si>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</si>
  <si>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</si>
  <si>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</si>
  <si>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</si>
  <si>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</si>
  <si>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</si>
  <si>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</si>
  <si>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</si>
  <si>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</si>
  <si>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</si>
  <si>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</si>
  <si>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</si>
  <si>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</si>
  <si>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</si>
  <si>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</si>
  <si>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</si>
  <si>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</si>
  <si>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</si>
  <si>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</si>
  <si>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</si>
  <si>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</si>
  <si>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</si>
  <si>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</si>
  <si>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</si>
  <si>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</si>
  <si>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</si>
  <si>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</si>
  <si>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</si>
  <si>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</si>
  <si>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</si>
  <si>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</si>
  <si>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</si>
  <si>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</si>
  <si>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</si>
  <si>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</si>
  <si>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</si>
  <si>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</si>
  <si>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</si>
  <si>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</si>
  <si>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</si>
  <si>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</si>
  <si>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</si>
  <si>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</si>
  <si>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</si>
  <si>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</si>
  <si>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</si>
  <si>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</si>
  <si>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</si>
  <si>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</si>
  <si>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</si>
  <si>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</si>
  <si>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</si>
  <si>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</si>
  <si>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</si>
  <si>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</si>
  <si>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</si>
  <si>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</si>
  <si>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</si>
  <si>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</si>
  <si>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</si>
  <si>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</si>
  <si>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</si>
  <si>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</si>
  <si>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</si>
  <si>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</si>
  <si>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</si>
  <si>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</si>
  <si>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</si>
  <si>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</si>
  <si>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</si>
  <si>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</si>
  <si>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</si>
  <si>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</si>
  <si>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</si>
  <si>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</si>
  <si>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</si>
  <si>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</si>
  <si>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</si>
  <si>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</si>
  <si>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</si>
  <si>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</si>
  <si>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</si>
  <si>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</si>
  <si>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</si>
  <si>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</si>
  <si>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</si>
  <si>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</si>
  <si>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</si>
  <si>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</si>
  <si>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</si>
  <si>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</si>
  <si>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</si>
  <si>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</si>
  <si>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</si>
  <si>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</si>
  <si>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</si>
  <si>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</si>
  <si>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</si>
  <si>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</si>
  <si>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</si>
  <si>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</si>
  <si>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</si>
  <si>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</si>
  <si>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</si>
  <si>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</si>
  <si>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</si>
  <si>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</si>
  <si>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</si>
  <si>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</si>
  <si>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</si>
  <si>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</si>
  <si>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</si>
  <si>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</si>
  <si>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</si>
  <si>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</si>
  <si>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</si>
  <si>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</si>
  <si>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</si>
  <si>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</si>
  <si>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</si>
  <si>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</si>
  <si>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</si>
  <si>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</si>
  <si>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</si>
  <si>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</si>
  <si>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</si>
  <si>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</si>
  <si>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</si>
  <si>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</si>
  <si>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</si>
  <si>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</si>
  <si>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</si>
  <si>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</si>
  <si>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</si>
  <si>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</si>
  <si>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</si>
  <si>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</si>
  <si>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</si>
  <si>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</si>
  <si>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</si>
  <si>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</si>
  <si>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</si>
  <si>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</si>
  <si>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</si>
  <si>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</si>
  <si>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</si>
  <si>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</si>
  <si>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</si>
  <si>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</si>
  <si>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</si>
  <si>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</si>
  <si>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</si>
  <si>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</si>
  <si>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</si>
  <si>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</si>
  <si>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</si>
  <si>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</si>
  <si>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</si>
  <si>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</si>
  <si>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</si>
  <si>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</si>
  <si>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</si>
  <si>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</si>
  <si>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</si>
  <si>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</si>
  <si>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</si>
  <si>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</si>
  <si>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</si>
  <si>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</si>
  <si>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</si>
  <si>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</si>
  <si>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</si>
  <si>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</si>
  <si>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</si>
  <si>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</si>
  <si>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</si>
  <si>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</si>
  <si>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</si>
  <si>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</si>
  <si>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</si>
  <si>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</si>
  <si>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</si>
  <si>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</si>
  <si>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</si>
  <si>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</si>
  <si>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</si>
  <si>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</si>
  <si>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</si>
  <si>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</si>
  <si>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</si>
  <si>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</si>
  <si>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</si>
  <si>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</si>
  <si>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</si>
  <si>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</si>
  <si>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</si>
  <si>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</si>
  <si>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</si>
  <si>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</si>
  <si>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</si>
  <si>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</si>
  <si>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</si>
  <si>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</si>
  <si>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</si>
  <si>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</si>
  <si>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</si>
  <si>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</si>
  <si>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</si>
  <si>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</si>
  <si>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</si>
  <si>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</si>
  <si>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</si>
  <si>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</si>
  <si>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</si>
  <si>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</si>
  <si>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</si>
  <si>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</si>
  <si>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</si>
  <si>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</si>
  <si>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</si>
  <si>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</si>
  <si>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</si>
  <si>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</si>
  <si>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</si>
  <si>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</si>
  <si>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</si>
  <si>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</si>
  <si>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</si>
  <si>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</si>
  <si>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</si>
  <si>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</si>
  <si>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</si>
  <si>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</si>
  <si>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</si>
  <si>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</si>
  <si>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</si>
  <si>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</si>
  <si>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</si>
  <si>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</si>
  <si>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</si>
  <si>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</si>
  <si>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</si>
  <si>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</si>
  <si>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</si>
  <si>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</si>
  <si>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</si>
  <si>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</si>
  <si>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</si>
  <si>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</si>
  <si>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</si>
  <si>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</si>
  <si>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</si>
  <si>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</si>
  <si>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</si>
  <si>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</si>
  <si>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</si>
  <si>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</si>
  <si>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</si>
  <si>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</si>
  <si>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</si>
  <si>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</si>
  <si>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</si>
  <si>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</si>
  <si>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</si>
  <si>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</si>
  <si>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</si>
  <si>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</si>
  <si>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</si>
  <si>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</si>
  <si>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</si>
  <si>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</si>
  <si>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</si>
  <si>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</si>
  <si>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</si>
  <si>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</si>
  <si>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</si>
  <si>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</si>
  <si>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</si>
  <si>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</si>
  <si>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</si>
  <si>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</si>
  <si>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</si>
  <si>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</si>
  <si>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</si>
  <si>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</si>
  <si>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</si>
  <si>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</si>
  <si>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</si>
  <si>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</si>
  <si>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</si>
  <si>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</si>
  <si>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</si>
  <si>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</si>
  <si>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</si>
  <si>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</si>
  <si>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</si>
  <si>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</si>
  <si>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</si>
  <si>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</si>
  <si>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</si>
  <si>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</si>
  <si>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</si>
  <si>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</si>
  <si>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</si>
  <si>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</si>
  <si>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</si>
  <si>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</si>
  <si>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</si>
  <si>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</si>
  <si>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</si>
  <si>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</si>
  <si>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</si>
  <si>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</si>
  <si>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</si>
  <si>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</si>
  <si>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</si>
  <si>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</si>
  <si>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</si>
  <si>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</si>
  <si>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</si>
  <si>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</si>
  <si>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</si>
  <si>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</si>
  <si>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</si>
  <si>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</si>
  <si>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</si>
  <si>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</si>
  <si>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</si>
  <si>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</si>
  <si>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</si>
  <si>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</si>
  <si>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</si>
  <si>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</si>
  <si>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</si>
  <si>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</si>
  <si>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</si>
  <si>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</si>
  <si>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</si>
  <si>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</si>
  <si>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</si>
  <si>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</si>
  <si>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</si>
  <si>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</si>
  <si>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</si>
  <si>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</si>
  <si>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</si>
  <si>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</si>
  <si>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</si>
  <si>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</si>
  <si>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</si>
  <si>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</si>
  <si>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</si>
  <si>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</si>
  <si>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</si>
  <si>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</si>
  <si>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</si>
  <si>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</si>
  <si>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</si>
  <si>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</si>
  <si>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</si>
  <si>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</si>
  <si>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</si>
  <si>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</si>
  <si>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</si>
  <si>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</si>
  <si>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</si>
  <si>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</si>
  <si>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</si>
  <si>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</si>
  <si>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</si>
  <si>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</si>
  <si>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</si>
  <si>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</si>
  <si>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</si>
  <si>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</si>
  <si>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</si>
  <si>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</si>
  <si>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</si>
  <si>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</si>
  <si>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</si>
  <si>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</si>
  <si>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</si>
  <si>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</si>
  <si>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</si>
  <si>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</si>
  <si>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</si>
  <si>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</si>
  <si>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</si>
  <si>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</si>
  <si>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</si>
  <si>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</si>
  <si>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</si>
  <si>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</si>
  <si>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</si>
  <si>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</si>
  <si>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</si>
  <si>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</si>
  <si>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</si>
  <si>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</si>
  <si>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</si>
  <si>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</si>
  <si>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</si>
  <si>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</si>
  <si>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</si>
  <si>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</si>
  <si>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</si>
  <si>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</si>
  <si>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</si>
  <si>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</si>
  <si>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</si>
  <si>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</si>
  <si>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</si>
  <si>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</si>
  <si>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</si>
  <si>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</si>
  <si>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</si>
  <si>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</si>
  <si>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</si>
  <si>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</si>
  <si>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</si>
  <si>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</si>
  <si>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</si>
  <si>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</si>
  <si>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</si>
  <si>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</si>
  <si>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</si>
  <si>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</si>
  <si>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</si>
  <si>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</si>
  <si>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</si>
  <si>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</si>
  <si>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</si>
  <si>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</si>
  <si>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</si>
  <si>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</si>
  <si>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</si>
  <si>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</si>
  <si>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</si>
  <si>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</si>
  <si>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</si>
  <si>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</si>
  <si>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</si>
  <si>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</si>
  <si>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</si>
  <si>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</si>
  <si>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</si>
  <si>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</si>
  <si>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</si>
  <si>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</si>
  <si>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</si>
  <si>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</si>
  <si>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</si>
  <si>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</si>
  <si>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</si>
  <si>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</si>
  <si>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</si>
  <si>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</si>
  <si>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</si>
  <si>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</si>
  <si>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</si>
  <si>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</si>
  <si>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</si>
  <si>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</si>
  <si>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</si>
  <si>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</si>
  <si>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</si>
  <si>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</si>
  <si>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</si>
  <si>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</si>
  <si>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</si>
  <si>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</si>
  <si>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</si>
  <si>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</si>
  <si>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</si>
  <si>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</si>
  <si>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</si>
  <si>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</si>
  <si>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</si>
  <si>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</si>
  <si>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</si>
  <si>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</si>
  <si>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</si>
  <si>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</si>
  <si>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</si>
  <si>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</si>
  <si>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</si>
  <si>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</si>
  <si>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</si>
  <si>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</si>
  <si>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</si>
  <si>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</si>
  <si>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</si>
  <si>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</si>
  <si>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</si>
  <si>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</si>
  <si>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</si>
  <si>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</si>
  <si>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</si>
  <si>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</si>
  <si>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</si>
  <si>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</si>
  <si>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</si>
  <si>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</si>
  <si>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</si>
  <si>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</si>
  <si>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</si>
  <si>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</si>
  <si>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</si>
  <si>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</si>
  <si>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</si>
  <si>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</si>
  <si>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</si>
  <si>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</si>
  <si>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</si>
  <si>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</si>
  <si>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</si>
  <si>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</si>
  <si>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</si>
  <si>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</si>
  <si>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</si>
  <si>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</si>
  <si>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</si>
  <si>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</si>
  <si>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</si>
  <si>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</si>
  <si>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</si>
  <si>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</si>
  <si>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</si>
  <si>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</si>
  <si>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</si>
  <si>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</si>
  <si>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</si>
  <si>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</si>
  <si>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</si>
  <si>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</si>
  <si>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</si>
  <si>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</si>
  <si>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</si>
  <si>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</si>
  <si>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</si>
  <si>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</si>
  <si>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</si>
  <si>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</si>
  <si>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</si>
  <si>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</si>
  <si>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</si>
  <si>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</si>
  <si>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</si>
  <si>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</si>
  <si>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</si>
  <si>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</si>
  <si>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</si>
  <si>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</si>
  <si>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</si>
  <si>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</si>
  <si>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</si>
  <si>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</si>
  <si>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</si>
  <si>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</si>
  <si>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</si>
  <si>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</si>
  <si>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</si>
  <si>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</si>
  <si>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</si>
  <si>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</si>
  <si>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</si>
  <si>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</si>
  <si>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</si>
  <si>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</si>
  <si>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</si>
  <si>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</si>
  <si>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</si>
  <si>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</si>
  <si>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</si>
  <si>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</si>
  <si>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</si>
  <si>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</si>
  <si>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</si>
  <si>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</si>
  <si>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</si>
  <si>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</si>
  <si>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</si>
  <si>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</si>
  <si>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</si>
  <si>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</si>
  <si>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</si>
  <si>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</si>
  <si>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</si>
  <si>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</si>
  <si>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</si>
  <si>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</si>
  <si>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</si>
  <si>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</si>
  <si>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</si>
  <si>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</si>
  <si>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</si>
  <si>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</si>
  <si>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</si>
  <si>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</si>
  <si>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</si>
  <si>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</si>
  <si>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</si>
  <si>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</si>
  <si>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</si>
  <si>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</si>
  <si>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</si>
  <si>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</si>
  <si>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</si>
  <si>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</si>
  <si>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</si>
  <si>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</si>
  <si>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</si>
  <si>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</si>
  <si>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</si>
  <si>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</si>
  <si>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</si>
  <si>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</si>
  <si>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</si>
  <si>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</si>
  <si>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</si>
  <si>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</si>
  <si>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</si>
  <si>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</si>
  <si>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</si>
  <si>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</si>
  <si>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</si>
  <si>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</si>
  <si>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</si>
  <si>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</si>
  <si>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</si>
  <si>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</si>
  <si>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</si>
  <si>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</si>
  <si>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</si>
  <si>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</si>
  <si>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</si>
  <si>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</si>
  <si>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</si>
  <si>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</si>
  <si>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</si>
  <si>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</si>
  <si>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</si>
  <si>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</si>
  <si>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</si>
  <si>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</si>
  <si>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</si>
  <si>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</si>
  <si>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</si>
  <si>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</si>
  <si>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</si>
  <si>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</si>
  <si>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</si>
  <si>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</si>
  <si>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</si>
  <si>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</si>
  <si>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</si>
  <si>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</si>
  <si>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</si>
  <si>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</si>
  <si>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</si>
  <si>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</si>
  <si>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</si>
  <si>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</si>
  <si>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</si>
  <si>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</si>
  <si>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</si>
  <si>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</si>
  <si>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</si>
  <si>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</si>
  <si>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</si>
  <si>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</si>
  <si>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</si>
  <si>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</si>
  <si>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</si>
  <si>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</si>
  <si>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</si>
  <si>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</si>
  <si>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</si>
  <si>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</si>
  <si>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</si>
  <si>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</si>
  <si>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</si>
  <si>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</si>
  <si>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</si>
  <si>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</si>
  <si>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</si>
  <si>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</si>
  <si>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</si>
  <si>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</si>
  <si>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</si>
  <si>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</si>
  <si>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</si>
  <si>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</si>
  <si>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</si>
  <si>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</si>
  <si>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</si>
  <si>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</si>
  <si>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</si>
  <si>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</si>
  <si>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</si>
  <si>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</si>
  <si>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</si>
  <si>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</si>
  <si>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</si>
  <si>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</si>
  <si>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</si>
  <si>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</si>
  <si>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</si>
  <si>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</si>
  <si>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</si>
  <si>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</si>
  <si>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</si>
  <si>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</si>
  <si>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</si>
  <si>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</si>
  <si>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</si>
  <si>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</si>
  <si>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</si>
  <si>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</si>
  <si>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</si>
  <si>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</si>
  <si>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</si>
  <si>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</si>
  <si>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</si>
  <si>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</si>
  <si>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</si>
  <si>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</si>
  <si>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</si>
  <si>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</si>
  <si>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</si>
  <si>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</si>
  <si>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</si>
  <si>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</si>
  <si>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</si>
  <si>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</si>
  <si>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</si>
  <si>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</si>
  <si>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</si>
  <si>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</si>
  <si>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</si>
  <si>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</si>
  <si>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</si>
  <si>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</si>
  <si>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</si>
  <si>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</si>
  <si>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</si>
  <si>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</si>
  <si>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</si>
  <si>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</si>
  <si>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</si>
  <si>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</si>
  <si>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</si>
  <si>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</si>
  <si>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</si>
  <si>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</si>
  <si>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</si>
  <si>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</si>
  <si>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</si>
  <si>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</si>
  <si>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</si>
  <si>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</si>
  <si>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</si>
  <si>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</si>
  <si>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</si>
  <si>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</si>
  <si>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</si>
  <si>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</si>
  <si>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</si>
  <si>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</si>
  <si>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</si>
  <si>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</si>
  <si>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</si>
  <si>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</si>
  <si>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</si>
  <si>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</si>
  <si>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</si>
  <si>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</si>
  <si>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</si>
  <si>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</si>
  <si>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</si>
  <si>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</si>
  <si>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</si>
  <si>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</si>
  <si>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</si>
  <si>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</si>
  <si>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</si>
  <si>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</si>
  <si>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</si>
  <si>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</si>
  <si>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</si>
  <si>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</si>
  <si>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</si>
  <si>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</si>
  <si>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</si>
  <si>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</si>
  <si>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</si>
  <si>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</si>
  <si>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</si>
  <si>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</si>
  <si>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</si>
  <si>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</si>
  <si>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</si>
  <si>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</si>
  <si>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</si>
  <si>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</si>
  <si>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</si>
  <si>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</si>
  <si>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</si>
  <si>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</si>
  <si>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</si>
  <si>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</si>
  <si>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</si>
  <si>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</si>
  <si>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</si>
  <si>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</si>
  <si>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</si>
  <si>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</si>
  <si>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</si>
  <si>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</si>
  <si>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</si>
  <si>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</si>
  <si>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</si>
  <si>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</si>
  <si>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</si>
  <si>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</si>
  <si>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</si>
  <si>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</si>
  <si>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</si>
  <si>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</si>
  <si>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</si>
  <si>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</si>
  <si>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</si>
  <si>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</si>
  <si>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</si>
  <si>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</si>
  <si>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</si>
  <si>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</si>
  <si>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</si>
  <si>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</si>
  <si>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</si>
  <si>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</si>
  <si>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</si>
  <si>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</si>
  <si>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</si>
  <si>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</si>
  <si>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</si>
  <si>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</si>
  <si>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</si>
  <si>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</si>
  <si>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</si>
  <si>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</si>
  <si>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</si>
  <si>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</si>
  <si>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</si>
  <si>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</si>
  <si>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</si>
  <si>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</si>
  <si>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</si>
  <si>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</si>
  <si>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</si>
  <si>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</si>
  <si>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</si>
  <si>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</si>
  <si>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</si>
  <si>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</si>
  <si>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</si>
  <si>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</si>
  <si>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</si>
  <si>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</si>
  <si>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</si>
  <si>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</si>
  <si>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</si>
  <si>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</si>
  <si>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</si>
  <si>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</si>
  <si>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</si>
  <si>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</si>
  <si>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</si>
  <si>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</si>
  <si>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</si>
  <si>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</si>
  <si>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</si>
  <si>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</si>
  <si>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</si>
  <si>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</si>
  <si>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</si>
  <si>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</si>
  <si>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</si>
  <si>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</si>
  <si>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</si>
  <si>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</si>
  <si>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</si>
  <si>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</si>
  <si>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</si>
  <si>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</si>
  <si>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</si>
  <si>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</si>
  <si>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</si>
  <si>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</si>
  <si>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</si>
  <si>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</si>
  <si>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</si>
  <si>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</si>
  <si>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</si>
  <si>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</si>
  <si>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</si>
  <si>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</si>
  <si>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</si>
  <si>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</si>
  <si>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</si>
  <si>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</si>
  <si>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</si>
  <si>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</si>
  <si>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</si>
  <si>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</si>
  <si>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</si>
  <si>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</si>
  <si>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</si>
  <si>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</si>
  <si>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</si>
  <si>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</si>
  <si>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</si>
  <si>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</si>
  <si>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</si>
  <si>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</si>
  <si>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</si>
  <si>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</si>
  <si>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</si>
  <si>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</si>
  <si>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</si>
  <si>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</si>
  <si>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</si>
  <si>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</si>
  <si>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</si>
  <si>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</si>
  <si>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</si>
  <si>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</si>
  <si>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</si>
  <si>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</si>
  <si>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</si>
  <si>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</si>
  <si>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</si>
  <si>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</si>
  <si>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</si>
  <si>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</si>
  <si>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</si>
  <si>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</si>
  <si>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</si>
  <si>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</si>
  <si>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</si>
  <si>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</si>
  <si>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</si>
  <si>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</si>
  <si>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</si>
  <si>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</si>
  <si>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</si>
  <si>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</si>
  <si>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</si>
  <si>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</si>
  <si>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</si>
  <si>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</si>
  <si>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</si>
  <si>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</si>
  <si>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</si>
  <si>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</si>
  <si>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</si>
  <si>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</si>
  <si>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</si>
  <si>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</si>
  <si>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</si>
  <si>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</si>
  <si>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</si>
  <si>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</si>
  <si>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</si>
  <si>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</si>
  <si>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</si>
  <si>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</si>
  <si>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</si>
  <si>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</si>
  <si>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</si>
  <si>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</si>
  <si>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</si>
  <si>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</si>
  <si>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</si>
  <si>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</si>
  <si>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</si>
  <si>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</si>
  <si>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</si>
  <si>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</si>
  <si>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</si>
  <si>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</si>
  <si>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</si>
  <si>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</si>
  <si>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</si>
  <si>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</si>
  <si>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</si>
  <si>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</si>
  <si>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</si>
  <si>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</si>
  <si>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</si>
  <si>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</si>
  <si>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</si>
  <si>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</si>
  <si>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</si>
  <si>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</si>
  <si>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</si>
  <si>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</si>
  <si>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</si>
  <si>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</si>
  <si>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</si>
  <si>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</si>
  <si>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</si>
  <si>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</si>
  <si>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</si>
  <si>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</si>
  <si>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</si>
  <si>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</si>
  <si>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</si>
  <si>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</si>
  <si>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</si>
  <si>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</si>
  <si>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</si>
  <si>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</si>
  <si>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</si>
  <si>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</si>
  <si>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</si>
  <si>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</si>
  <si>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</si>
  <si>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</si>
  <si>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</si>
  <si>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</si>
  <si>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</si>
  <si>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</si>
  <si>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</si>
  <si>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</si>
  <si>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</si>
  <si>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</si>
  <si>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</si>
  <si>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</si>
  <si>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</si>
  <si>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</si>
  <si>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</si>
  <si>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</si>
  <si>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</si>
  <si>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</si>
  <si>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</si>
  <si>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</si>
  <si>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</si>
  <si>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</si>
  <si>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</si>
  <si>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</si>
  <si>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</si>
  <si>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</si>
  <si>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</si>
  <si>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</si>
  <si>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</si>
  <si>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</si>
  <si>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</si>
  <si>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</si>
  <si>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</si>
  <si>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</si>
  <si>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</si>
  <si>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</si>
  <si>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</si>
  <si>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</si>
  <si>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</si>
  <si>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</si>
  <si>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</si>
  <si>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</si>
  <si>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</si>
  <si>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</si>
  <si>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</si>
  <si>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</si>
  <si>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</si>
  <si>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</si>
  <si>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</si>
  <si>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</si>
  <si>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</si>
  <si>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</si>
  <si>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</si>
  <si>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</si>
  <si>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</si>
  <si>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</si>
  <si>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</si>
  <si>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</si>
  <si>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</si>
  <si>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</si>
  <si>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</si>
  <si>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</si>
  <si>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</si>
  <si>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</si>
  <si>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</si>
  <si>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</si>
  <si>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</si>
  <si>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</si>
  <si>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</si>
  <si>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</si>
  <si>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</si>
  <si>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</si>
  <si>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</si>
  <si>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</si>
  <si>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</si>
  <si>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</si>
  <si>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</si>
  <si>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</si>
  <si>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</si>
  <si>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</si>
  <si>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</si>
  <si>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</si>
  <si>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</si>
  <si>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</si>
  <si>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</si>
  <si>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</si>
  <si>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</si>
  <si>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</si>
  <si>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</si>
  <si>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</si>
  <si>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</si>
  <si>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</si>
  <si>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</si>
  <si>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</si>
  <si>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</si>
  <si>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</si>
  <si>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</si>
  <si>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</si>
  <si>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</si>
  <si>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</si>
  <si>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</si>
  <si>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</si>
  <si>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</si>
  <si>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</si>
  <si>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</si>
  <si>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</si>
  <si>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</si>
  <si>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</si>
  <si>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</si>
  <si>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</si>
  <si>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</si>
  <si>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</si>
  <si>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</si>
  <si>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</si>
  <si>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</si>
  <si>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</si>
  <si>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</si>
  <si>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</si>
  <si>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</si>
  <si>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</si>
  <si>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</si>
  <si>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</si>
  <si>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</si>
  <si>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</si>
  <si>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</si>
  <si>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</si>
  <si>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</si>
  <si>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</si>
  <si>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</si>
  <si>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</si>
  <si>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</si>
  <si>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</si>
  <si>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</si>
  <si>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</si>
  <si>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</si>
  <si>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</si>
  <si>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</si>
  <si>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</si>
  <si>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</si>
  <si>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</si>
  <si>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</si>
  <si>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</si>
  <si>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</si>
  <si>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</si>
  <si>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</si>
  <si>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</si>
  <si>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</si>
  <si>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</si>
  <si>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</si>
  <si>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</si>
  <si>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</si>
  <si>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</si>
  <si>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</si>
  <si>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</si>
  <si>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</si>
  <si>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</si>
  <si>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</si>
  <si>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</si>
  <si>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</si>
  <si>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</si>
  <si>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</si>
  <si>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</si>
  <si>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</si>
  <si>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</si>
  <si>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</si>
  <si>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</si>
  <si>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</si>
  <si>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</si>
  <si>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</si>
  <si>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</si>
  <si>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</si>
  <si>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</si>
  <si>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</si>
  <si>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</si>
  <si>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</si>
  <si>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</si>
  <si>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</si>
  <si>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</si>
  <si>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</si>
  <si>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</si>
  <si>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</si>
  <si>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</si>
  <si>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</si>
  <si>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</si>
  <si>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</si>
  <si>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</si>
  <si>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</si>
  <si>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</si>
  <si>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</si>
  <si>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</si>
  <si>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</si>
  <si>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</si>
  <si>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</si>
  <si>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</si>
  <si>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</si>
  <si>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</si>
  <si>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</si>
  <si>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</si>
  <si>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</si>
  <si>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</si>
  <si>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</si>
  <si>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</si>
  <si>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</si>
  <si>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</si>
  <si>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</si>
  <si>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</si>
  <si>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</si>
  <si>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</si>
  <si>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</si>
  <si>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</si>
  <si>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</si>
  <si>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</si>
  <si>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</si>
  <si>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</si>
  <si>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</si>
  <si>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</si>
  <si>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</si>
  <si>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</si>
  <si>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</si>
  <si>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</si>
  <si>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</si>
  <si>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</si>
  <si>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</si>
  <si>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</si>
  <si>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</si>
  <si>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</si>
  <si>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</si>
  <si>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</si>
  <si>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</si>
  <si>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</si>
  <si>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</si>
  <si>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</si>
  <si>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</si>
  <si>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</si>
  <si>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</si>
  <si>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</si>
  <si>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</si>
  <si>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</si>
  <si>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</si>
  <si>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</si>
  <si>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</si>
  <si>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</si>
  <si>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</si>
  <si>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</si>
  <si>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</si>
  <si>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</si>
  <si>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</si>
  <si>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</si>
  <si>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</si>
  <si>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</si>
  <si>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</si>
  <si>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</si>
  <si>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</si>
  <si>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</si>
  <si>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</si>
  <si>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</si>
  <si>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</si>
  <si>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</si>
  <si>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</si>
  <si>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</si>
  <si>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</si>
  <si>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</si>
  <si>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</si>
  <si>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</si>
  <si>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</si>
  <si>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</si>
  <si>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</si>
  <si>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</si>
  <si>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</si>
  <si>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</si>
  <si>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</si>
  <si>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</si>
  <si>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</si>
  <si>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</si>
  <si>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</si>
  <si>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</si>
  <si>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</si>
  <si>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</si>
  <si>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</si>
  <si>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</si>
  <si>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</si>
  <si>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</si>
  <si>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</si>
  <si>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</si>
  <si>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</si>
  <si>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</si>
  <si>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</si>
  <si>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</si>
  <si>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</si>
  <si>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</si>
  <si>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</si>
  <si>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</si>
  <si>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</si>
  <si>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</si>
  <si>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</si>
  <si>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</si>
  <si>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</si>
  <si>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</si>
  <si>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</si>
  <si>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</si>
  <si>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</si>
  <si>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</si>
  <si>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</si>
  <si>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</si>
  <si>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</si>
  <si>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</si>
  <si>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</si>
  <si>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</si>
  <si>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</si>
  <si>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</si>
  <si>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</si>
  <si>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</si>
  <si>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</si>
  <si>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</si>
  <si>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</si>
  <si>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</si>
  <si>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</si>
  <si>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</si>
  <si>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</si>
  <si>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</si>
  <si>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</si>
  <si>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</si>
  <si>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</si>
  <si>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</si>
  <si>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</si>
  <si>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</si>
  <si>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</si>
  <si>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</si>
  <si>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</si>
  <si>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</si>
  <si>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</si>
  <si>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</si>
  <si>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</si>
  <si>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</si>
  <si>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</si>
  <si>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</si>
  <si>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</si>
  <si>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</si>
  <si>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</si>
  <si>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</si>
  <si>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</si>
  <si>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</si>
  <si>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</si>
  <si>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</si>
  <si>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</si>
  <si>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</si>
  <si>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</si>
  <si>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</si>
  <si>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</si>
  <si>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</si>
  <si>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</si>
  <si>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</si>
  <si>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</si>
  <si>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</si>
  <si>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</si>
  <si>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</si>
  <si>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</si>
  <si>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</si>
  <si>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</si>
  <si>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</si>
  <si>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</si>
  <si>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</si>
  <si>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</si>
  <si>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</si>
  <si>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</si>
  <si>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</si>
  <si>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</si>
  <si>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</si>
  <si>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</si>
  <si>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</si>
  <si>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</si>
  <si>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</si>
  <si>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</si>
  <si>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</si>
  <si>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</si>
  <si>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</si>
  <si>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</si>
  <si>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</si>
  <si>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</si>
  <si>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</si>
  <si>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</si>
  <si>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</si>
  <si>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</si>
  <si>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</si>
  <si>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</si>
  <si>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</si>
  <si>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</si>
  <si>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</si>
  <si>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</si>
  <si>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</si>
  <si>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</si>
  <si>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</si>
  <si>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</si>
  <si>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</si>
  <si>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</si>
  <si>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</si>
  <si>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</si>
  <si>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</si>
  <si>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</si>
  <si>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</si>
  <si>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</si>
  <si>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</si>
  <si>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</si>
  <si>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</si>
  <si>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</si>
  <si>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</si>
  <si>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</si>
  <si>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</si>
  <si>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</si>
  <si>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</si>
  <si>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</si>
  <si>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</si>
  <si>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</si>
  <si>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</si>
  <si>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</si>
  <si>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</si>
  <si>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</si>
  <si>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</si>
  <si>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</si>
  <si>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</si>
  <si>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</si>
  <si>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</si>
  <si>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</si>
  <si>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</si>
  <si>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</si>
  <si>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</si>
  <si>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</si>
  <si>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</si>
  <si>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</si>
  <si>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</si>
  <si>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</si>
  <si>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</si>
  <si>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</si>
  <si>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</si>
  <si>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</si>
  <si>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</si>
  <si>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</si>
  <si>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</si>
  <si>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</si>
  <si>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</si>
  <si>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</si>
  <si>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</si>
  <si>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</si>
  <si>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</si>
  <si>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</si>
  <si>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</si>
  <si>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</si>
  <si>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</si>
  <si>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</si>
  <si>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</si>
  <si>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</si>
  <si>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</si>
  <si>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</si>
  <si>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</si>
  <si>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</si>
  <si>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</si>
  <si>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</si>
  <si>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</si>
  <si>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</si>
  <si>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</si>
  <si>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</si>
  <si>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</si>
  <si>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</si>
  <si>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</si>
  <si>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</si>
  <si>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</si>
  <si>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</si>
  <si>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</si>
  <si>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</si>
  <si>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</si>
  <si>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</si>
  <si>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</si>
  <si>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</si>
  <si>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</si>
  <si>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</si>
  <si>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</si>
  <si>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</si>
  <si>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</si>
  <si>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</si>
  <si>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</si>
  <si>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</si>
  <si>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</si>
  <si>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</si>
  <si>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</si>
  <si>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</si>
  <si>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</si>
  <si>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</si>
  <si>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</si>
  <si>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</si>
  <si>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</si>
  <si>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</si>
  <si>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</si>
  <si>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</si>
  <si>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</si>
  <si>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</si>
  <si>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</si>
  <si>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</si>
  <si>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</si>
  <si>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</si>
  <si>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</si>
  <si>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</si>
  <si>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</si>
  <si>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</si>
  <si>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</si>
  <si>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</si>
  <si>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</si>
  <si>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</si>
  <si>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</si>
  <si>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</si>
  <si>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</si>
  <si>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</si>
  <si>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</si>
  <si>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</si>
  <si>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</si>
  <si>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</si>
  <si>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</si>
  <si>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</si>
  <si>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</si>
  <si>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</si>
  <si>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</si>
  <si>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</si>
  <si>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</si>
  <si>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</si>
  <si>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</si>
  <si>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</si>
  <si>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</si>
  <si>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</si>
  <si>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</si>
  <si>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</si>
  <si>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</si>
  <si>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</si>
  <si>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</si>
  <si>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</si>
  <si>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</si>
  <si>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</si>
  <si>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</si>
  <si>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</si>
  <si>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</si>
  <si>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</si>
  <si>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</si>
  <si>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</si>
  <si>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</si>
  <si>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</si>
  <si>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</si>
  <si>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</si>
  <si>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</si>
  <si>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</si>
  <si>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</si>
  <si>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</si>
  <si>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</si>
  <si>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</si>
  <si>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</si>
  <si>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</si>
  <si>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</si>
  <si>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</si>
  <si>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</si>
  <si>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</si>
  <si>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</si>
  <si>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</si>
  <si>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</si>
  <si>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</si>
  <si>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</si>
  <si>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</si>
  <si>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</si>
  <si>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</si>
  <si>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</si>
  <si>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</si>
  <si>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</si>
  <si>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</si>
  <si>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</si>
  <si>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</si>
  <si>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</si>
  <si>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</si>
  <si>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</si>
  <si>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</si>
  <si>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</si>
  <si>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</si>
  <si>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</si>
  <si>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</si>
  <si>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</si>
  <si>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</si>
  <si>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</si>
  <si>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</si>
  <si>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</si>
  <si>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</si>
  <si>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</si>
  <si>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</si>
  <si>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</si>
  <si>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</si>
  <si>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</si>
  <si>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</si>
  <si>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</si>
  <si>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</si>
  <si>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</si>
  <si>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</si>
  <si>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</si>
  <si>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</si>
  <si>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</si>
  <si>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</si>
  <si>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</si>
  <si>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</si>
  <si>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</si>
  <si>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</si>
  <si>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</si>
  <si>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</si>
  <si>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</si>
  <si>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</si>
  <si>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</si>
  <si>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</si>
  <si>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</si>
  <si>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</si>
  <si>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</si>
  <si>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</si>
  <si>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</si>
  <si>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</si>
  <si>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</si>
  <si>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</si>
  <si>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</si>
  <si>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</si>
  <si>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</si>
  <si>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</si>
  <si>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</si>
  <si>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</si>
  <si>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</si>
  <si>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</si>
  <si>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</si>
  <si>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</si>
  <si>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</si>
  <si>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</si>
  <si>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</si>
  <si>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</si>
  <si>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</si>
  <si>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</si>
  <si>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</si>
  <si>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</si>
  <si>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</si>
  <si>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</si>
  <si>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</si>
  <si>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</si>
  <si>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</si>
  <si>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</si>
  <si>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</si>
  <si>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</si>
  <si>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</si>
  <si>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</si>
  <si>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</si>
  <si>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</si>
  <si>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</si>
  <si>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</si>
  <si>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</si>
  <si>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</si>
  <si>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</si>
  <si>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</si>
  <si>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</si>
  <si>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</si>
  <si>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</si>
  <si>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</si>
  <si>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</si>
  <si>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</si>
  <si>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</si>
  <si>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</si>
  <si>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</si>
  <si>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</si>
  <si>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</si>
  <si>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</si>
  <si>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</si>
  <si>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</si>
  <si>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</si>
  <si>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</si>
  <si>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</si>
  <si>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</si>
  <si>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</si>
  <si>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</si>
  <si>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</si>
  <si>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</si>
  <si>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</si>
  <si>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</si>
  <si>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</si>
  <si>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</si>
  <si>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</si>
  <si>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</si>
  <si>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</si>
  <si>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</si>
  <si>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</si>
  <si>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</si>
  <si>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</si>
  <si>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</si>
  <si>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</si>
  <si>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</si>
  <si>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</si>
  <si>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</si>
  <si>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</si>
  <si>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</si>
  <si>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</si>
  <si>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</si>
  <si>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</si>
  <si>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</si>
  <si>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</si>
  <si>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</si>
  <si>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</si>
  <si>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</si>
  <si>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</si>
  <si>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</si>
  <si>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</si>
  <si>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</si>
  <si>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</si>
  <si>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</si>
  <si>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</si>
  <si>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</si>
  <si>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</si>
  <si>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</si>
  <si>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</si>
  <si>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</si>
  <si>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</si>
  <si>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</si>
  <si>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</si>
  <si>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</si>
  <si>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</si>
  <si>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</si>
  <si>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</si>
  <si>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</si>
  <si>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</si>
  <si>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</si>
  <si>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</si>
  <si>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</si>
  <si>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</si>
  <si>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</si>
  <si>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</si>
  <si>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</si>
  <si>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</si>
  <si>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</si>
  <si>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</si>
  <si>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</si>
  <si>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</si>
  <si>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</si>
  <si>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</si>
  <si>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</si>
  <si>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</si>
  <si>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</si>
  <si>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</si>
  <si>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</si>
  <si>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</si>
  <si>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</si>
  <si>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</si>
  <si>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</si>
  <si>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</si>
  <si>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</si>
  <si>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</si>
  <si>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</si>
  <si>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</si>
  <si>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</si>
  <si>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</si>
  <si>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</si>
  <si>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</si>
  <si>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</si>
  <si>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</si>
  <si>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</si>
  <si>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</si>
  <si>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</si>
  <si>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</si>
  <si>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</si>
  <si>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</si>
  <si>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</si>
  <si>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</si>
  <si>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</si>
  <si>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</si>
  <si>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</si>
  <si>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</si>
  <si>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</si>
  <si>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</si>
  <si>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</si>
  <si>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</si>
  <si>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</si>
  <si>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</si>
  <si>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</si>
  <si>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</si>
  <si>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</si>
  <si>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</si>
  <si>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</si>
  <si>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</si>
  <si>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</si>
  <si>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</si>
  <si>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</si>
  <si>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</si>
  <si>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</si>
  <si>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</si>
  <si>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</si>
  <si>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</si>
  <si>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</si>
  <si>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</si>
  <si>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</si>
  <si>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</si>
  <si>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</si>
  <si>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</si>
  <si>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</si>
  <si>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</si>
  <si>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</si>
  <si>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</si>
  <si>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</si>
  <si>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</si>
  <si>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</si>
  <si>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</si>
  <si>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</si>
  <si>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</si>
  <si>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</si>
  <si>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</si>
  <si>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</si>
  <si>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</si>
  <si>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</si>
  <si>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</si>
  <si>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</si>
  <si>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</si>
  <si>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</si>
  <si>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</si>
  <si>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</si>
  <si>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</si>
  <si>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</si>
  <si>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</si>
  <si>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</si>
  <si>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</si>
  <si>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</si>
  <si>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</si>
  <si>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</si>
  <si>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</si>
  <si>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</si>
  <si>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</si>
  <si>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</si>
  <si>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</si>
  <si>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</si>
  <si>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</si>
  <si>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</si>
  <si>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</si>
  <si>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</si>
  <si>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</si>
  <si>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</si>
  <si>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</si>
  <si>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</si>
  <si>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</si>
  <si>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</si>
  <si>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</si>
  <si>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</si>
  <si>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</si>
  <si>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</si>
  <si>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</si>
  <si>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</si>
  <si>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</si>
  <si>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</si>
  <si>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</si>
  <si>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</si>
  <si>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</si>
  <si>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</si>
  <si>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</si>
  <si>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</si>
  <si>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</si>
  <si>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</si>
  <si>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</si>
  <si>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</si>
  <si>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</si>
  <si>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</si>
  <si>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</si>
  <si>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</si>
  <si>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</si>
  <si>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</si>
  <si>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</si>
  <si>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</si>
  <si>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</si>
  <si>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</si>
  <si>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</si>
  <si>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</si>
  <si>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</si>
  <si>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</si>
  <si>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</si>
  <si>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</si>
  <si>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</si>
  <si>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</si>
  <si>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</si>
  <si>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</si>
  <si>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</si>
  <si>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</si>
  <si>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</si>
  <si>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</si>
  <si>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</si>
  <si>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</si>
  <si>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</si>
  <si>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</si>
  <si>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</si>
  <si>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</si>
  <si>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</si>
  <si>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</si>
  <si>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</si>
  <si>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</si>
  <si>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</si>
  <si>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</si>
  <si>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</si>
  <si>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</si>
  <si>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</si>
  <si>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</si>
  <si>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</si>
  <si>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</si>
  <si>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</si>
  <si>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</si>
  <si>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</si>
  <si>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</si>
  <si>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</si>
  <si>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</si>
  <si>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</si>
  <si>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</si>
  <si>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</si>
  <si>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</si>
  <si>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</si>
  <si>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</si>
  <si>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</si>
  <si>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</si>
  <si>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</si>
  <si>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</si>
  <si>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</si>
  <si>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</si>
  <si>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</si>
  <si>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</si>
  <si>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</si>
  <si>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</si>
  <si>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</si>
  <si>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</si>
  <si>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</si>
  <si>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</si>
  <si>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</si>
  <si>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</si>
  <si>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</si>
  <si>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</si>
  <si>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</si>
  <si>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</si>
  <si>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</si>
  <si>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</si>
  <si>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</si>
  <si>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</si>
  <si>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</si>
  <si>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</si>
  <si>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</si>
  <si>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</si>
  <si>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</si>
  <si>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</si>
  <si>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</si>
  <si>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</si>
  <si>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</si>
  <si>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</si>
  <si>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</si>
  <si>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</si>
  <si>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</si>
  <si>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</si>
  <si>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</si>
  <si>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</si>
  <si>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</si>
  <si>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</si>
  <si>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</si>
  <si>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</si>
  <si>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</si>
  <si>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</si>
  <si>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</si>
  <si>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</si>
  <si>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</si>
  <si>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</si>
  <si>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</si>
  <si>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</si>
  <si>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</si>
  <si>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</si>
  <si>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</si>
  <si>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</si>
  <si>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</si>
  <si>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</si>
  <si>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</si>
  <si>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</si>
  <si>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</si>
  <si>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</si>
  <si>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</si>
  <si>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</si>
  <si>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</si>
  <si>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</si>
  <si>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</si>
  <si>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</si>
  <si>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</si>
  <si>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</si>
  <si>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</si>
  <si>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</si>
  <si>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</si>
  <si>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</si>
  <si>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</si>
  <si>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</si>
  <si>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</si>
  <si>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</si>
  <si>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</si>
  <si>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</si>
  <si>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</si>
  <si>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</si>
  <si>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</si>
  <si>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</si>
  <si>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</si>
  <si>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</si>
  <si>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</si>
  <si>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</si>
  <si>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</si>
  <si>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</si>
  <si>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</si>
  <si>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</si>
  <si>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</si>
  <si>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</si>
  <si>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</si>
  <si>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</si>
  <si>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</si>
  <si>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</si>
  <si>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</si>
  <si>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</si>
  <si>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</si>
  <si>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</si>
  <si>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</si>
  <si>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</si>
  <si>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</si>
  <si>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</si>
  <si>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</si>
  <si>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</si>
  <si>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</si>
  <si>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</si>
  <si>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</si>
  <si>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</si>
  <si>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</si>
  <si>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</si>
  <si>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</si>
  <si>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</si>
  <si>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</si>
  <si>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</si>
  <si>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</si>
  <si>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</si>
  <si>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</si>
  <si>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</si>
  <si>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</si>
  <si>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</si>
  <si>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</si>
  <si>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</si>
  <si>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</si>
  <si>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</si>
  <si>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</si>
  <si>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</si>
  <si>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</si>
  <si>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</si>
  <si>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</si>
  <si>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</si>
  <si>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</si>
  <si>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</si>
  <si>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</si>
  <si>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</si>
  <si>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</si>
  <si>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</si>
  <si>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</si>
  <si>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</si>
  <si>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</si>
  <si>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</si>
  <si>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</si>
  <si>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</si>
  <si>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</si>
  <si>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</si>
  <si>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</si>
  <si>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</si>
  <si>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</si>
  <si>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</si>
  <si>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</si>
  <si>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</si>
  <si>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</si>
  <si>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</si>
  <si>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</si>
  <si>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</si>
  <si>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</si>
  <si>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</si>
  <si>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</si>
  <si>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</si>
  <si>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</si>
  <si>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</si>
  <si>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</si>
  <si>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</si>
  <si>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</si>
  <si>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</si>
  <si>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</si>
  <si>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</si>
  <si>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</si>
  <si>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</si>
  <si>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</si>
  <si>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</si>
  <si>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</si>
  <si>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</si>
  <si>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</si>
  <si>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</si>
  <si>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</si>
  <si>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</si>
  <si>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</si>
  <si>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</si>
  <si>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</si>
  <si>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</si>
  <si>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</si>
  <si>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</si>
  <si>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</si>
  <si>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</si>
  <si>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</si>
  <si>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</si>
  <si>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</si>
  <si>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</si>
  <si>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</si>
  <si>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</si>
  <si>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</si>
  <si>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</si>
  <si>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</si>
  <si>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</si>
  <si>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</si>
  <si>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</si>
  <si>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</si>
  <si>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</si>
  <si>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</si>
  <si>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</si>
  <si>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</si>
  <si>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</si>
  <si>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</si>
  <si>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</si>
  <si>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</si>
  <si>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</si>
  <si>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</si>
  <si>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</si>
  <si>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</si>
  <si>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</si>
  <si>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</si>
  <si>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</si>
  <si>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</si>
  <si>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</si>
  <si>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</si>
  <si>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</si>
  <si>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</si>
  <si>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</si>
  <si>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</si>
  <si>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</si>
  <si>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</si>
  <si>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</si>
  <si>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</si>
  <si>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</si>
  <si>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</si>
  <si>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</si>
  <si>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</si>
  <si>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</si>
  <si>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</si>
  <si>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</si>
  <si>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</si>
  <si>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</si>
  <si>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</si>
  <si>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</si>
  <si>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</si>
  <si>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</si>
  <si>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</si>
  <si>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</si>
  <si>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</si>
  <si>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</si>
  <si>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</si>
  <si>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</si>
  <si>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</si>
  <si>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</si>
  <si>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</si>
  <si>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</si>
  <si>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</si>
  <si>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</si>
  <si>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</si>
  <si>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</si>
  <si>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</si>
  <si>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</si>
  <si>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</si>
  <si>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</si>
  <si>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</si>
  <si>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</si>
  <si>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</si>
  <si>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</si>
  <si>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</si>
  <si>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</si>
  <si>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</si>
  <si>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</si>
  <si>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</si>
  <si>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</si>
  <si>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</si>
  <si>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</si>
  <si>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</si>
  <si>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</si>
  <si>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</si>
  <si>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</si>
  <si>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</si>
  <si>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</si>
  <si>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</si>
  <si>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</si>
  <si>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</si>
  <si>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</si>
  <si>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</si>
  <si>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</si>
  <si>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</si>
  <si>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</si>
  <si>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</si>
  <si>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</si>
  <si>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</si>
  <si>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</si>
  <si>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</si>
  <si>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</si>
  <si>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</si>
  <si>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</si>
  <si>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</si>
  <si>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</si>
  <si>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</si>
  <si>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</si>
  <si>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</si>
  <si>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</si>
  <si>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</si>
  <si>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</si>
  <si>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</si>
  <si>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</si>
  <si>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</si>
  <si>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</si>
  <si>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</si>
  <si>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</si>
  <si>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</si>
  <si>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</si>
  <si>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</si>
  <si>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</si>
  <si>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</si>
  <si>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</si>
  <si>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</si>
  <si>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</si>
  <si>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</si>
  <si>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</si>
  <si>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</si>
  <si>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</si>
  <si>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</si>
  <si>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</si>
  <si>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</si>
  <si>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</si>
  <si>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</si>
  <si>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</si>
  <si>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</si>
  <si>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</si>
  <si>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</si>
  <si>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</si>
  <si>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</si>
  <si>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</si>
  <si>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</si>
  <si>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</si>
  <si>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</si>
  <si>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</si>
  <si>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</si>
  <si>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</si>
  <si>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</si>
  <si>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</si>
  <si>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</si>
  <si>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</si>
  <si>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</si>
  <si>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</si>
  <si>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</si>
  <si>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</si>
  <si>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</si>
  <si>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</si>
  <si>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</si>
  <si>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</si>
  <si>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</si>
  <si>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</si>
  <si>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</si>
  <si>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</si>
  <si>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</si>
  <si>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</si>
  <si>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</si>
  <si>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</si>
  <si>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</si>
  <si>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</si>
  <si>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</si>
  <si>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</si>
  <si>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</si>
  <si>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</si>
  <si>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</si>
  <si>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</si>
  <si>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</si>
  <si>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</si>
  <si>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</si>
  <si>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</si>
  <si>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</si>
  <si>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</si>
  <si>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</si>
  <si>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</si>
  <si>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</si>
  <si>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</si>
  <si>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</si>
  <si>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</si>
  <si>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</si>
  <si>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</si>
  <si>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</si>
  <si>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</si>
  <si>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</si>
  <si>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</si>
  <si>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</si>
  <si>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</si>
  <si>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</si>
  <si>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</si>
  <si>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</si>
  <si>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</si>
  <si>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</si>
  <si>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</si>
  <si>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</si>
  <si>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</si>
  <si>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</si>
  <si>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</si>
  <si>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</si>
  <si>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</si>
  <si>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</si>
  <si>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</si>
  <si>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</si>
  <si>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</si>
  <si>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</si>
  <si>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</si>
  <si>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</si>
  <si>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</si>
  <si>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</si>
  <si>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</si>
  <si>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</si>
  <si>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</si>
  <si>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</si>
  <si>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</si>
  <si>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</si>
  <si>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</si>
  <si>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</si>
  <si>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</si>
  <si>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</si>
  <si>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</si>
  <si>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</si>
  <si>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</si>
  <si>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</si>
  <si>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</si>
  <si>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</si>
  <si>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</si>
  <si>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</si>
  <si>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</si>
  <si>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</si>
  <si>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</si>
  <si>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</si>
  <si>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</si>
  <si>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</si>
  <si>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</si>
  <si>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</si>
  <si>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</si>
  <si>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</si>
  <si>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</si>
  <si>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</si>
  <si>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</si>
  <si>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</si>
  <si>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</si>
  <si>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</si>
  <si>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</si>
  <si>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</si>
  <si>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</si>
  <si>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</si>
  <si>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</si>
  <si>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</si>
  <si>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</si>
  <si>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</si>
  <si>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</si>
  <si>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</si>
  <si>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</si>
  <si>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</si>
  <si>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</si>
  <si>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</si>
  <si>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</si>
  <si>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</si>
  <si>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</si>
  <si>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</si>
  <si>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</si>
  <si>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</si>
  <si>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</si>
  <si>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</si>
  <si>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</si>
  <si>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</si>
  <si>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</si>
  <si>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</si>
  <si>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</si>
  <si>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</si>
  <si>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</si>
  <si>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</si>
  <si>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</si>
  <si>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</si>
  <si>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</si>
  <si>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</si>
  <si>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</si>
  <si>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</si>
  <si>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</si>
  <si>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</si>
  <si>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</si>
  <si>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</si>
  <si>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</si>
  <si>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</si>
  <si>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</si>
  <si>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</si>
  <si>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</si>
  <si>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</si>
  <si>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</si>
  <si>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</si>
  <si>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</si>
  <si>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</si>
  <si>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</si>
  <si>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</si>
  <si>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</si>
  <si>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</si>
  <si>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</si>
  <si>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</si>
  <si>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</si>
  <si>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</si>
  <si>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</si>
  <si>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</si>
  <si>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</si>
  <si>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</si>
  <si>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</si>
  <si>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</si>
  <si>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</si>
  <si>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</si>
  <si>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</si>
  <si>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</si>
  <si>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</si>
  <si>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</si>
  <si>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</si>
  <si>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</si>
  <si>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</si>
  <si>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</si>
  <si>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</si>
  <si>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</si>
  <si>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</si>
  <si>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</si>
  <si>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</si>
  <si>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</si>
  <si>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</si>
  <si>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</si>
  <si>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</si>
  <si>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</si>
  <si>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</si>
  <si>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</si>
  <si>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</si>
  <si>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</si>
  <si>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</si>
  <si>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</si>
  <si>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</si>
  <si>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</si>
  <si>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</si>
  <si>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</si>
  <si>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</si>
  <si>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</si>
  <si>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</si>
  <si>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</si>
  <si>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</si>
  <si>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</si>
  <si>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</si>
  <si>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</si>
  <si>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</si>
  <si>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</si>
  <si>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</si>
  <si>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</si>
  <si>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</si>
  <si>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</si>
  <si>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</si>
  <si>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</si>
  <si>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</si>
  <si>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</si>
  <si>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</si>
  <si>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</si>
  <si>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</si>
  <si>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</si>
  <si>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</si>
  <si>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</si>
  <si>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</si>
  <si>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</si>
  <si>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</si>
  <si>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</si>
  <si>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</si>
  <si>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</si>
  <si>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</si>
  <si>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</si>
  <si>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</si>
  <si>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</si>
  <si>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</si>
  <si>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</si>
  <si>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</si>
  <si>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</si>
  <si>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</si>
  <si>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</si>
  <si>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</si>
  <si>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</si>
  <si>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</si>
  <si>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</si>
  <si>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</si>
  <si>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</si>
  <si>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</si>
  <si>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</si>
  <si>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</si>
  <si>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</si>
  <si>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</si>
  <si>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</si>
  <si>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</si>
  <si>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</si>
  <si>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</si>
  <si>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</si>
  <si>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</si>
  <si>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</si>
  <si>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</si>
  <si>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</si>
  <si>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</si>
  <si>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</si>
  <si>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</si>
  <si>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</si>
  <si>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</si>
  <si>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</si>
  <si>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</si>
  <si>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</si>
  <si>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</si>
  <si>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</si>
  <si>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</si>
  <si>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</si>
  <si>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</si>
  <si>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</si>
  <si>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</si>
  <si>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</si>
  <si>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</si>
  <si>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</si>
  <si>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</si>
  <si>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</si>
  <si>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</si>
  <si>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</si>
  <si>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</si>
  <si>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</si>
  <si>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</si>
  <si>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</si>
  <si>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</si>
  <si>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</si>
  <si>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</si>
  <si>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</si>
  <si>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</si>
  <si>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</si>
  <si>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</si>
  <si>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</si>
  <si>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</si>
  <si>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</si>
  <si>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</si>
  <si>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</si>
  <si>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</si>
  <si>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</si>
  <si>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</si>
  <si>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</si>
  <si>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</si>
  <si>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</si>
  <si>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</si>
  <si>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</si>
  <si>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</si>
  <si>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</si>
  <si>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</si>
  <si>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</si>
  <si>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</si>
  <si>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</si>
  <si>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</si>
  <si>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</si>
  <si>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</si>
  <si>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</si>
  <si>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</si>
  <si>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</si>
  <si>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</si>
  <si>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</si>
  <si>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</si>
  <si>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</si>
  <si>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</si>
  <si>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</si>
  <si>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</si>
  <si>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</si>
  <si>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</si>
  <si>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</si>
  <si>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</si>
  <si>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</si>
  <si>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</si>
  <si>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</si>
  <si>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</si>
  <si>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</si>
  <si>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</si>
  <si>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</si>
  <si>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</si>
  <si>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</si>
  <si>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</si>
  <si>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</si>
  <si>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</si>
  <si>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</si>
  <si>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</si>
  <si>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</si>
  <si>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</si>
  <si>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</si>
  <si>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</si>
  <si>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</si>
  <si>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</si>
  <si>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</si>
  <si>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</si>
  <si>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</si>
  <si>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</si>
  <si>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</si>
  <si>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</si>
  <si>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</si>
  <si>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</si>
  <si>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</si>
  <si>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</si>
  <si>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</si>
  <si>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</si>
  <si>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</si>
  <si>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</si>
  <si>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</si>
  <si>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</si>
  <si>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</si>
  <si>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</si>
  <si>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</si>
  <si>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</si>
  <si>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</si>
  <si>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</si>
  <si>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</si>
  <si>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</si>
  <si>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</si>
  <si>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</si>
  <si>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</si>
  <si>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</si>
  <si>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</si>
  <si>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</si>
  <si>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</si>
  <si>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</si>
  <si>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</si>
  <si>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</si>
  <si>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</si>
  <si>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</si>
  <si>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</si>
  <si>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</si>
  <si>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</si>
  <si>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</si>
  <si>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</si>
  <si>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</si>
  <si>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</si>
  <si>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</si>
  <si>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</si>
  <si>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</si>
  <si>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</si>
  <si>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</si>
  <si>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</si>
  <si>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</si>
  <si>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</si>
  <si>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</si>
  <si>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</si>
  <si>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</si>
  <si>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</si>
  <si>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</si>
  <si>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</si>
  <si>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</si>
  <si>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</si>
  <si>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</si>
  <si>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</si>
  <si>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</si>
  <si>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</si>
  <si>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</si>
  <si>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</si>
  <si>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</si>
  <si>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</si>
  <si>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</si>
  <si>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</si>
  <si>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</si>
  <si>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</si>
  <si>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</si>
  <si>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</si>
  <si>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</si>
  <si>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</si>
  <si>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</si>
  <si>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</si>
  <si>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</si>
  <si>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</si>
  <si>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</si>
  <si>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</si>
  <si>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</si>
  <si>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</si>
  <si>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</si>
  <si>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</si>
  <si>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</si>
  <si>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</si>
  <si>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</si>
  <si>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</si>
  <si>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</si>
  <si>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</si>
  <si>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</si>
  <si>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</si>
  <si>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</si>
  <si>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</si>
  <si>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</si>
  <si>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</si>
  <si>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</si>
  <si>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</si>
  <si>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</si>
  <si>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</si>
  <si>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</si>
  <si>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</si>
  <si>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</si>
  <si>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</si>
  <si>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</si>
  <si>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</si>
  <si>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</si>
  <si>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</si>
  <si>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</si>
  <si>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</si>
  <si>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</si>
  <si>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</si>
  <si>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</si>
  <si>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</si>
  <si>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</si>
  <si>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</si>
  <si>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</si>
  <si>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</si>
  <si>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</si>
  <si>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</si>
  <si>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</si>
  <si>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</si>
  <si>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</si>
  <si>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</si>
  <si>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</si>
  <si>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</si>
  <si>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</si>
  <si>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</si>
  <si>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</si>
  <si>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</si>
  <si>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</si>
  <si>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</si>
  <si>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</si>
  <si>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</si>
  <si>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</si>
  <si>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</si>
  <si>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</si>
  <si>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</si>
  <si>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</si>
  <si>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</si>
  <si>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</si>
  <si>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</si>
  <si>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</si>
  <si>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</si>
  <si>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</si>
  <si>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</si>
  <si>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</si>
  <si>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</si>
  <si>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</si>
  <si>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</si>
  <si>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</si>
  <si>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</si>
  <si>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</si>
  <si>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</si>
  <si>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</si>
  <si>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</si>
  <si>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</si>
  <si>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</si>
  <si>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</si>
  <si>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</si>
  <si>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</si>
  <si>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</si>
  <si>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</si>
  <si>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</si>
  <si>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</si>
  <si>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</si>
  <si>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</si>
  <si>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</si>
  <si>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</si>
  <si>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</si>
  <si>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</si>
  <si>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</si>
  <si>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</si>
  <si>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</si>
  <si>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</si>
  <si>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</si>
  <si>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</si>
  <si>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</si>
  <si>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</si>
  <si>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</si>
  <si>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</si>
  <si>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</si>
  <si>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</si>
  <si>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</si>
  <si>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</si>
  <si>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</si>
  <si>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</si>
  <si>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</si>
  <si>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</si>
  <si>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</si>
  <si>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</si>
  <si>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</si>
  <si>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</si>
  <si>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</si>
  <si>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</si>
  <si>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</si>
  <si>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</si>
  <si>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</si>
  <si>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</si>
  <si>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</si>
  <si>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</si>
  <si>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</si>
  <si>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</si>
  <si>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</si>
  <si>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</si>
  <si>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</si>
  <si>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</si>
  <si>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</si>
  <si>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</si>
  <si>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</si>
  <si>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</si>
  <si>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</si>
  <si>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</si>
  <si>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</si>
  <si>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</si>
  <si>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</si>
  <si>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</si>
  <si>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</si>
  <si>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</si>
  <si>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</si>
  <si>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</si>
  <si>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</si>
  <si>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</si>
  <si>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</si>
  <si>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</si>
  <si>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</si>
  <si>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</si>
  <si>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</si>
  <si>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</si>
  <si>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</si>
  <si>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</si>
  <si>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</si>
  <si>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</si>
  <si>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</si>
  <si>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</si>
  <si>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</si>
  <si>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</si>
  <si>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</si>
  <si>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</si>
  <si>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</si>
  <si>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</si>
  <si>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</si>
  <si>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</si>
  <si>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</si>
  <si>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</si>
  <si>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</si>
  <si>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</si>
  <si>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</si>
  <si>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</si>
  <si>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</si>
  <si>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</si>
  <si>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</si>
  <si>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</si>
  <si>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</si>
  <si>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</si>
  <si>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</si>
  <si>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</si>
  <si>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</si>
  <si>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</si>
  <si>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</si>
  <si>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</si>
  <si>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</si>
  <si>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</si>
  <si>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</si>
  <si>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</si>
  <si>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</si>
  <si>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</si>
  <si>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</si>
  <si>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</si>
  <si>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</si>
  <si>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</si>
  <si>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</si>
  <si>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</si>
  <si>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</si>
  <si>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</si>
  <si>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</si>
  <si>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</si>
  <si>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</si>
  <si>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</si>
  <si>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</si>
  <si>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</si>
  <si>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</si>
  <si>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</si>
  <si>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</si>
  <si>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</si>
  <si>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</si>
  <si>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</si>
  <si>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</si>
  <si>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</si>
  <si>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</si>
  <si>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</si>
  <si>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</si>
  <si>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</si>
  <si>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</si>
  <si>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</si>
  <si>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</si>
  <si>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</si>
  <si>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</si>
  <si>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</si>
  <si>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</si>
  <si>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</si>
  <si>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</si>
  <si>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</si>
  <si>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</si>
  <si>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</si>
  <si>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</si>
  <si>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</si>
  <si>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</si>
  <si>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</si>
  <si>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</si>
  <si>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</si>
  <si>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</si>
  <si>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</si>
  <si>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</si>
  <si>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</si>
  <si>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</si>
  <si>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</si>
  <si>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</si>
  <si>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</si>
  <si>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</si>
  <si>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</si>
  <si>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</si>
  <si>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</si>
  <si>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</si>
  <si>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</si>
  <si>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</si>
  <si>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</si>
  <si>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</si>
  <si>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</si>
  <si>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</si>
  <si>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</si>
  <si>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</si>
  <si>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</si>
  <si>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</si>
  <si>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</si>
  <si>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</si>
  <si>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</si>
  <si>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</si>
  <si>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</si>
  <si>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</si>
  <si>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</si>
  <si>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</si>
  <si>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</si>
  <si>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</si>
  <si>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</si>
  <si>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</si>
  <si>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</si>
  <si>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</si>
  <si>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</si>
  <si>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</si>
  <si>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</si>
  <si>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</si>
  <si>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</si>
  <si>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</si>
  <si>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</si>
  <si>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</si>
  <si>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</si>
  <si>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</si>
  <si>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</si>
  <si>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</si>
  <si>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</si>
  <si>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</si>
  <si>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</si>
  <si>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</si>
  <si>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</si>
  <si>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</si>
  <si>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</si>
  <si>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</si>
  <si>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</si>
  <si>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</si>
  <si>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</si>
  <si>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</si>
  <si>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</si>
  <si>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</si>
  <si>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</si>
  <si>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</si>
  <si>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</si>
  <si>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</si>
  <si>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</si>
  <si>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</si>
  <si>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</si>
  <si>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</si>
  <si>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</si>
  <si>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</si>
  <si>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</si>
  <si>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</si>
  <si>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</si>
  <si>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</si>
  <si>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</si>
  <si>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</si>
  <si>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</si>
  <si>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</si>
  <si>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</si>
  <si>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</si>
  <si>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</si>
  <si>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</si>
  <si>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</si>
  <si>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</si>
  <si>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</si>
  <si>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</si>
  <si>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</si>
  <si>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</si>
  <si>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</si>
  <si>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</si>
  <si>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</si>
  <si>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</si>
  <si>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</si>
  <si>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</si>
  <si>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</si>
  <si>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</si>
  <si>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</si>
  <si>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</si>
  <si>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</si>
  <si>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</si>
  <si>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</si>
  <si>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</si>
  <si>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</si>
  <si>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</si>
  <si>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</si>
  <si>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</si>
  <si>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</si>
  <si>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</si>
  <si>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</si>
  <si>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</si>
  <si>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</si>
  <si>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</si>
  <si>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</si>
  <si>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</si>
  <si>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</si>
  <si>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</si>
  <si>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</si>
  <si>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</si>
  <si>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</si>
  <si>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</si>
  <si>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</si>
  <si>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</si>
  <si>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</si>
  <si>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</si>
  <si>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</si>
  <si>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</si>
  <si>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</si>
  <si>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</si>
  <si>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</si>
  <si>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</si>
  <si>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</si>
  <si>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</si>
  <si>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</si>
  <si>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</si>
  <si>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</si>
  <si>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</si>
  <si>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</si>
  <si>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</si>
  <si>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</si>
  <si>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</si>
  <si>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</si>
  <si>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</si>
  <si>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</si>
  <si>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</si>
  <si>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</si>
  <si>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</si>
  <si>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</si>
  <si>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</si>
  <si>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</si>
  <si>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</si>
  <si>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</si>
  <si>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</si>
  <si>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</si>
  <si>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</si>
  <si>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</si>
  <si>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</si>
  <si>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</si>
  <si>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</si>
  <si>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</si>
  <si>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</si>
  <si>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</si>
  <si>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</si>
  <si>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</si>
  <si>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</si>
  <si>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</si>
  <si>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</si>
  <si>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</si>
  <si>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</si>
  <si>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</si>
  <si>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</si>
  <si>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</si>
  <si>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</si>
  <si>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</si>
  <si>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</si>
  <si>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</si>
  <si>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</si>
  <si>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</si>
  <si>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</si>
  <si>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</si>
  <si>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</si>
  <si>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</si>
  <si>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</si>
  <si>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</si>
  <si>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</si>
  <si>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</si>
  <si>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</si>
  <si>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</si>
  <si>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</si>
  <si>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</si>
  <si>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</si>
  <si>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</si>
  <si>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</si>
  <si>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</si>
  <si>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</si>
  <si>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</si>
  <si>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</si>
  <si>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</si>
  <si>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</si>
  <si>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</si>
  <si>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</si>
  <si>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</si>
  <si>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</si>
  <si>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</si>
  <si>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</si>
  <si>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</si>
  <si>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</si>
  <si>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</si>
  <si>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</si>
  <si>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</si>
  <si>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</si>
  <si>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</si>
  <si>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</si>
  <si>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</si>
  <si>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</si>
  <si>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</si>
  <si>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</si>
  <si>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</si>
  <si>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</si>
  <si>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</si>
  <si>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</si>
  <si>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</si>
  <si>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</si>
  <si>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</si>
  <si>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</si>
  <si>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</si>
  <si>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</si>
  <si>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</si>
  <si>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</si>
  <si>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</si>
  <si>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</si>
  <si>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</si>
  <si>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</si>
  <si>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</si>
  <si>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</si>
  <si>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</si>
  <si>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</si>
  <si>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</si>
  <si>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</si>
  <si>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</si>
  <si>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</si>
  <si>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</si>
  <si>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</si>
  <si>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</si>
  <si>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</si>
  <si>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</si>
  <si>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</si>
  <si>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</si>
  <si>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</si>
  <si>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</si>
  <si>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</si>
  <si>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</si>
  <si>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</si>
  <si>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</si>
  <si>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</si>
  <si>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</si>
  <si>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</si>
  <si>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</si>
  <si>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</si>
  <si>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</si>
  <si>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</si>
  <si>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</si>
  <si>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</si>
  <si>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</si>
  <si>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</si>
  <si>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</si>
  <si>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</si>
  <si>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</si>
  <si>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</si>
  <si>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</si>
  <si>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</si>
  <si>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</si>
  <si>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</si>
  <si>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</si>
  <si>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</si>
  <si>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</si>
  <si>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</si>
  <si>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</si>
  <si>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</si>
  <si>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</si>
  <si>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</si>
  <si>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</si>
  <si>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</si>
  <si>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</si>
  <si>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</si>
  <si>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</si>
  <si>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</si>
  <si>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</si>
  <si>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</si>
  <si>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</si>
  <si>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</si>
  <si>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</si>
  <si>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</si>
  <si>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</si>
  <si>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</si>
  <si>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</si>
  <si>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</si>
  <si>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</si>
  <si>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</si>
  <si>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</si>
  <si>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</si>
  <si>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</si>
  <si>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</si>
  <si>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</si>
  <si>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</si>
  <si>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</si>
  <si>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</si>
  <si>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</si>
  <si>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</si>
  <si>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</si>
  <si>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</si>
  <si>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</si>
  <si>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</si>
  <si>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</si>
  <si>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</si>
  <si>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</si>
  <si>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</si>
  <si>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</si>
  <si>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</si>
  <si>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</si>
  <si>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</si>
  <si>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</si>
  <si>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</si>
  <si>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</si>
  <si>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</si>
  <si>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</si>
  <si>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</si>
  <si>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</si>
  <si>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</si>
  <si>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</si>
  <si>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</si>
  <si>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</si>
  <si>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</si>
  <si>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</si>
  <si>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</si>
  <si>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</si>
  <si>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</si>
  <si>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</si>
  <si>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</si>
  <si>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</si>
  <si>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</si>
  <si>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</si>
  <si>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</si>
  <si>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</si>
  <si>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</si>
  <si>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</si>
  <si>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</si>
  <si>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</si>
  <si>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</si>
  <si>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</si>
  <si>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</si>
  <si>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</si>
  <si>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</si>
  <si>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</si>
  <si>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</si>
  <si>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</si>
  <si>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</si>
  <si>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</si>
  <si>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</si>
  <si>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</si>
  <si>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</si>
  <si>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</si>
  <si>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</si>
  <si>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</si>
  <si>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</si>
  <si>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</si>
  <si>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</si>
  <si>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</si>
  <si>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</si>
  <si>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</si>
  <si>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</si>
  <si>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</si>
  <si>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</si>
  <si>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</si>
  <si>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</si>
  <si>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</si>
  <si>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</si>
  <si>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</si>
  <si>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</si>
  <si>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</si>
  <si>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</si>
  <si>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</si>
  <si>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</si>
  <si>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</si>
  <si>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</si>
  <si>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</si>
  <si>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</si>
  <si>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</si>
  <si>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</si>
  <si>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</si>
  <si>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</si>
  <si>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</si>
  <si>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</si>
  <si>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</si>
  <si>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</si>
  <si>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</si>
  <si>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</si>
  <si>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</si>
  <si>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</si>
  <si>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</si>
  <si>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</si>
  <si>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</si>
  <si>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</si>
  <si>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</si>
  <si>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</si>
  <si>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</si>
  <si>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</si>
  <si>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</si>
  <si>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</si>
  <si>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</si>
  <si>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</si>
  <si>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</si>
  <si>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</si>
  <si>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</si>
  <si>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</si>
  <si>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</si>
  <si>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</si>
  <si>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</si>
  <si>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</si>
  <si>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</si>
  <si>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</si>
  <si>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</si>
  <si>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</si>
  <si>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</si>
  <si>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</si>
  <si>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</si>
  <si>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</si>
  <si>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</si>
  <si>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</si>
  <si>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</si>
  <si>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</si>
  <si>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</si>
  <si>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</si>
  <si>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</si>
  <si>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</si>
  <si>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</si>
  <si>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</si>
  <si>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</si>
  <si>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</si>
  <si>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</si>
  <si>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</si>
  <si>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</si>
  <si>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</si>
  <si>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</si>
  <si>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</si>
  <si>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</si>
  <si>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</si>
  <si>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</si>
  <si>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</si>
  <si>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</si>
  <si>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</si>
  <si>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</si>
  <si>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</si>
  <si>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</si>
  <si>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</si>
  <si>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</si>
  <si>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</si>
  <si>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</si>
  <si>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</si>
  <si>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</si>
  <si>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</si>
  <si>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</si>
  <si>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</si>
  <si>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</si>
  <si>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</si>
  <si>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</si>
  <si>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</si>
  <si>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</si>
  <si>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</si>
  <si>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</si>
  <si>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</si>
  <si>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</si>
  <si>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</si>
  <si>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</si>
  <si>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</si>
  <si>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</si>
  <si>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</si>
  <si>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</si>
  <si>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</si>
  <si>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</si>
  <si>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</si>
  <si>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</si>
  <si>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</si>
  <si>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</si>
  <si>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</si>
  <si>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</si>
  <si>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</si>
  <si>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</si>
  <si>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</si>
  <si>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</si>
  <si>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</si>
  <si>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</si>
  <si>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</si>
  <si>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</si>
  <si>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</si>
  <si>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</si>
  <si>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</si>
  <si>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</si>
  <si>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</si>
  <si>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</si>
  <si>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</si>
  <si>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</si>
  <si>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</si>
  <si>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</si>
  <si>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</si>
  <si>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</si>
  <si>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</si>
  <si>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</si>
  <si>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</si>
  <si>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</si>
  <si>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</si>
  <si>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</si>
  <si>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</si>
  <si>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</si>
  <si>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</si>
  <si>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</si>
  <si>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</si>
  <si>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</si>
  <si>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</si>
  <si>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</si>
  <si>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</si>
  <si>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</si>
  <si>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</si>
  <si>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</si>
  <si>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</si>
  <si>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</si>
  <si>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</si>
  <si>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</si>
  <si>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</si>
  <si>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</si>
  <si>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</si>
  <si>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</si>
  <si>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</si>
  <si>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</si>
  <si>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</si>
  <si>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</si>
  <si>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</si>
  <si>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</si>
  <si>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</si>
  <si>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</si>
  <si>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</si>
  <si>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</si>
  <si>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</si>
  <si>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</si>
  <si>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</si>
  <si>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</si>
  <si>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</si>
  <si>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</si>
  <si>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</si>
  <si>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</si>
  <si>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</si>
  <si>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</si>
  <si>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</si>
  <si>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</si>
  <si>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</si>
  <si>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</si>
  <si>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</si>
  <si>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</si>
  <si>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</si>
  <si>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</si>
  <si>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</si>
  <si>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</si>
  <si>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</si>
  <si>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</si>
  <si>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</si>
  <si>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</si>
  <si>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</si>
  <si>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</si>
  <si>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</si>
  <si>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</si>
  <si>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</si>
  <si>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</si>
  <si>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</si>
  <si>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</si>
  <si>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</si>
  <si>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</si>
  <si>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</si>
  <si>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</si>
  <si>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</si>
  <si>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</si>
  <si>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</si>
  <si>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</si>
  <si>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</si>
  <si>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</si>
  <si>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</si>
  <si>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</si>
  <si>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</si>
  <si>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</si>
  <si>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</si>
  <si>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</si>
  <si>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</si>
  <si>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</si>
  <si>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</si>
  <si>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</si>
  <si>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</si>
  <si>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</si>
  <si>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</si>
  <si>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</si>
  <si>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</si>
  <si>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</si>
  <si>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</si>
  <si>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</si>
  <si>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</si>
  <si>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</si>
  <si>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</si>
  <si>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</si>
  <si>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</si>
  <si>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</si>
  <si>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</si>
  <si>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</si>
  <si>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</si>
  <si>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</si>
  <si>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</si>
  <si>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</si>
  <si>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</si>
  <si>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</si>
  <si>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</si>
  <si>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</si>
  <si>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</si>
  <si>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</si>
  <si>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</si>
  <si>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</si>
  <si>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</si>
  <si>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</si>
  <si>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</si>
  <si>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</si>
  <si>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</si>
  <si>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</si>
  <si>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</si>
  <si>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</si>
  <si>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</si>
  <si>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</si>
  <si>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</si>
  <si>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</si>
  <si>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</si>
  <si>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</si>
  <si>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</si>
  <si>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</si>
  <si>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</si>
  <si>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</si>
  <si>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</si>
  <si>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</si>
  <si>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</si>
  <si>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</si>
  <si>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</si>
  <si>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</si>
  <si>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</si>
  <si>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</si>
  <si>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</si>
  <si>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</si>
  <si>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</si>
  <si>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</si>
  <si>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</si>
  <si>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</si>
  <si>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</si>
  <si>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</si>
  <si>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</si>
  <si>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</si>
  <si>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</si>
  <si>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</si>
  <si>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</si>
  <si>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</si>
  <si>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</si>
  <si>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</si>
  <si>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</si>
  <si>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</si>
  <si>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</si>
  <si>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</si>
  <si>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</si>
  <si>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</si>
  <si>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</si>
  <si>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</si>
  <si>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</si>
  <si>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</si>
  <si>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</si>
  <si>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</si>
  <si>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</si>
  <si>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</si>
  <si>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</si>
  <si>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</si>
  <si>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</si>
  <si>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</si>
  <si>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</si>
  <si>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</si>
  <si>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</si>
  <si>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</si>
  <si>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</si>
  <si>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</si>
  <si>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</si>
  <si>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</si>
  <si>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</si>
  <si>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</si>
  <si>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</si>
  <si>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</si>
  <si>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</si>
  <si>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</si>
  <si>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</si>
  <si>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</si>
  <si>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</si>
  <si>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</si>
  <si>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</si>
  <si>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</si>
  <si>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</si>
  <si>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</si>
  <si>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</si>
  <si>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</si>
  <si>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</si>
  <si>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</si>
  <si>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</si>
  <si>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</si>
  <si>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</si>
  <si>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</si>
  <si>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</si>
  <si>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</si>
  <si>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</si>
  <si>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</si>
  <si>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</si>
  <si>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</si>
  <si>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</si>
  <si>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</si>
  <si>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</si>
  <si>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</si>
  <si>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</si>
  <si>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</si>
  <si>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</si>
  <si>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</si>
  <si>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</si>
  <si>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</si>
  <si>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</si>
  <si>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</si>
  <si>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</si>
  <si>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</si>
  <si>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</si>
  <si>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</si>
  <si>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</si>
  <si>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</si>
  <si>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</si>
  <si>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</si>
  <si>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</si>
  <si>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</si>
  <si>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</si>
  <si>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</si>
  <si>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</si>
  <si>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</si>
  <si>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</si>
  <si>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</si>
  <si>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</si>
  <si>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</si>
  <si>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</si>
  <si>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</si>
  <si>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</si>
  <si>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</si>
  <si>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</si>
  <si>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</si>
  <si>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</si>
  <si>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</si>
  <si>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</si>
  <si>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</si>
  <si>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</si>
  <si>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</si>
  <si>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</si>
  <si>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</si>
  <si>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</si>
  <si>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</si>
  <si>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</si>
  <si>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</si>
  <si>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</si>
  <si>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</si>
  <si>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</si>
  <si>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</si>
  <si>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</si>
  <si>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</si>
  <si>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</si>
  <si>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</si>
  <si>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</si>
  <si>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</si>
  <si>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</si>
  <si>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</si>
  <si>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</si>
  <si>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</si>
  <si>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</si>
  <si>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</si>
  <si>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</si>
  <si>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</si>
  <si>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</si>
  <si>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</si>
  <si>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</si>
  <si>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</si>
  <si>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</si>
  <si>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</si>
  <si>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</si>
  <si>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</si>
  <si>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</si>
  <si>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</si>
  <si>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</si>
  <si>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</si>
  <si>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</si>
  <si>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</si>
  <si>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</si>
  <si>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</si>
  <si>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</si>
  <si>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</si>
  <si>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</si>
  <si>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</si>
  <si>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</si>
  <si>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</si>
  <si>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</si>
  <si>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</si>
  <si>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</si>
  <si>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</si>
  <si>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</si>
  <si>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</si>
  <si>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</si>
  <si>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</si>
  <si>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</si>
  <si>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</si>
  <si>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</si>
  <si>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</si>
  <si>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</si>
  <si>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</si>
  <si>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</si>
  <si>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</si>
  <si>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</si>
  <si>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</si>
  <si>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</si>
  <si>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</si>
  <si>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</si>
  <si>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</si>
  <si>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</si>
  <si>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</si>
  <si>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</si>
  <si>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</si>
  <si>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</si>
  <si>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</si>
  <si>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</si>
  <si>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</si>
  <si>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</si>
  <si>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</si>
  <si>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</si>
  <si>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</si>
  <si>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</si>
  <si>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</si>
  <si>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</si>
  <si>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</si>
  <si>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</si>
  <si>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</si>
  <si>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</si>
  <si>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</si>
  <si>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</si>
  <si>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</si>
  <si>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</si>
  <si>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</si>
  <si>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</si>
  <si>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</si>
  <si>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</si>
  <si>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</si>
  <si>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</si>
  <si>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</si>
  <si>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</si>
  <si>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</si>
  <si>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</si>
  <si>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</si>
  <si>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</si>
  <si>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</si>
  <si>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</si>
  <si>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</si>
  <si>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</si>
  <si>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</si>
  <si>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</si>
  <si>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</si>
  <si>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</si>
  <si>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</si>
  <si>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</si>
  <si>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</si>
  <si>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</si>
  <si>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</si>
  <si>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</si>
  <si>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</si>
  <si>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</si>
  <si>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</si>
  <si>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</si>
  <si>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</si>
  <si>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</si>
  <si>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</si>
  <si>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</si>
  <si>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</si>
  <si>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</si>
  <si>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</si>
  <si>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</si>
  <si>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</si>
  <si>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</si>
  <si>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</si>
  <si>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</si>
  <si>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</si>
  <si>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</si>
  <si>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</si>
  <si>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</si>
  <si>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</si>
  <si>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</si>
  <si>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</si>
  <si>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</si>
  <si>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</si>
  <si>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</si>
  <si>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</si>
  <si>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</si>
  <si>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</si>
  <si>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</si>
  <si>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</si>
  <si>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</si>
  <si>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</si>
  <si>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</si>
  <si>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</si>
  <si>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</si>
  <si>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</si>
  <si>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</si>
  <si>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</si>
  <si>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</si>
  <si>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</si>
  <si>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</si>
  <si>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</si>
  <si>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</si>
  <si>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</si>
  <si>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</si>
  <si>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</si>
  <si>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</si>
  <si>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</si>
  <si>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</si>
  <si>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</si>
  <si>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</si>
  <si>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</si>
  <si>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</si>
  <si>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</si>
  <si>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</si>
  <si>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</si>
  <si>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</si>
  <si>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</si>
  <si>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</si>
  <si>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</si>
  <si>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</si>
  <si>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</si>
  <si>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</si>
  <si>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</si>
  <si>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</si>
  <si>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</si>
  <si>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</si>
  <si>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</si>
  <si>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</si>
  <si>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</si>
  <si>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</si>
  <si>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</si>
  <si>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</si>
  <si>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</si>
  <si>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</si>
  <si>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</si>
  <si>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</si>
  <si>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</si>
  <si>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</si>
  <si>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</si>
  <si>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</si>
  <si>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</si>
  <si>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</si>
  <si>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</si>
  <si>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</si>
  <si>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</si>
  <si>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</si>
  <si>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</si>
  <si>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</si>
  <si>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</si>
  <si>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</si>
  <si>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</si>
  <si>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</si>
  <si>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</si>
  <si>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</si>
  <si>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</si>
  <si>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</si>
  <si>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</si>
  <si>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</si>
  <si>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</si>
  <si>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</si>
  <si>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</si>
  <si>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</si>
  <si>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</si>
  <si>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</si>
  <si>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</si>
  <si>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</si>
  <si>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</si>
  <si>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</si>
  <si>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</si>
  <si>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</si>
  <si>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</si>
  <si>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</si>
  <si>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</si>
  <si>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</si>
  <si>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</si>
  <si>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</si>
  <si>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</si>
  <si>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</si>
  <si>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</si>
  <si>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</si>
  <si>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</si>
  <si>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</si>
  <si>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</si>
  <si>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</si>
  <si>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</si>
  <si>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</si>
  <si>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</si>
  <si>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</si>
  <si>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</si>
  <si>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</si>
  <si>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</si>
  <si>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</si>
  <si>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</si>
  <si>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</si>
  <si>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</si>
  <si>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</si>
  <si>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</si>
  <si>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</si>
  <si>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</si>
  <si>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</si>
  <si>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</si>
  <si>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</si>
  <si>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</si>
  <si>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</si>
  <si>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</si>
  <si>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</si>
  <si>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</si>
  <si>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</si>
  <si>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</si>
  <si>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</si>
  <si>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</si>
  <si>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</si>
  <si>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</si>
  <si>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</si>
  <si>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</si>
  <si>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</si>
  <si>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</si>
  <si>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</si>
  <si>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</si>
  <si>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</si>
  <si>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</si>
  <si>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</si>
  <si>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</si>
  <si>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</si>
  <si>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</si>
  <si>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</si>
  <si>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</si>
  <si>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</si>
  <si>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</si>
  <si>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</si>
  <si>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</si>
  <si>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</si>
  <si>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</si>
  <si>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</si>
  <si>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</si>
  <si>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</si>
  <si>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</si>
  <si>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</si>
  <si>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</si>
  <si>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</si>
  <si>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</si>
  <si>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</si>
  <si>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</si>
  <si>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</si>
  <si>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</si>
  <si>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</si>
  <si>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</si>
  <si>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</si>
  <si>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</si>
  <si>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</si>
  <si>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</si>
  <si>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</si>
  <si>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</si>
  <si>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</si>
  <si>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</si>
  <si>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</si>
  <si>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</si>
  <si>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</si>
  <si>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</si>
  <si>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</si>
  <si>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</si>
  <si>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</si>
  <si>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</si>
  <si>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</si>
  <si>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</si>
  <si>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</si>
  <si>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</si>
  <si>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</si>
  <si>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</si>
  <si>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</si>
  <si>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</si>
  <si>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</si>
  <si>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</si>
  <si>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</si>
  <si>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</si>
  <si>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</si>
  <si>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</si>
  <si>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</si>
  <si>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</si>
  <si>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</si>
  <si>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</si>
  <si>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</si>
  <si>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</si>
  <si>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</si>
  <si>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</si>
  <si>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</si>
  <si>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</si>
  <si>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</si>
  <si>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</si>
  <si>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</si>
  <si>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</si>
  <si>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</si>
  <si>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</si>
  <si>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</si>
  <si>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</si>
  <si>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</si>
  <si>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</si>
  <si>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</si>
  <si>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</si>
  <si>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</si>
  <si>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</si>
  <si>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</si>
  <si>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</si>
  <si>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</si>
  <si>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</si>
  <si>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</si>
  <si>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</si>
  <si>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</si>
  <si>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</si>
  <si>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</si>
  <si>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</si>
  <si>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</si>
  <si>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</si>
  <si>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</si>
  <si>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</si>
  <si>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</si>
  <si>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</si>
  <si>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</si>
  <si>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</si>
  <si>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</si>
  <si>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</si>
  <si>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</si>
  <si>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</si>
  <si>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</si>
  <si>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</si>
  <si>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</si>
  <si>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</si>
  <si>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</si>
  <si>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</si>
  <si>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</si>
  <si>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</si>
  <si>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</si>
  <si>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</si>
  <si>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</si>
  <si>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</si>
  <si>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</si>
  <si>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</si>
  <si>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</si>
  <si>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</si>
  <si>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</si>
  <si>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</si>
  <si>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</si>
  <si>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</si>
  <si>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</si>
  <si>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</si>
  <si>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</si>
  <si>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</si>
  <si>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</si>
  <si>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</si>
  <si>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</si>
  <si>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</si>
  <si>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</si>
  <si>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</si>
  <si>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</si>
  <si>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</si>
  <si>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</si>
  <si>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</si>
  <si>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</si>
  <si>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</si>
  <si>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</si>
  <si>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</si>
  <si>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</si>
  <si>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</si>
  <si>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</si>
  <si>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</si>
  <si>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</si>
  <si>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</si>
  <si>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</si>
  <si>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</si>
  <si>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</si>
  <si>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</si>
  <si>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</si>
  <si>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</si>
  <si>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</si>
  <si>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</si>
  <si>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</si>
  <si>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</si>
  <si>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</si>
  <si>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</si>
  <si>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</si>
  <si>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</si>
  <si>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</si>
  <si>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</si>
  <si>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</si>
  <si>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</si>
  <si>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</si>
  <si>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</si>
  <si>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</si>
  <si>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</si>
  <si>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</si>
  <si>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</si>
  <si>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</si>
  <si>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</si>
  <si>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</si>
  <si>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</si>
  <si>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</si>
  <si>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</si>
  <si>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</si>
  <si>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</si>
  <si>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</si>
  <si>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</si>
  <si>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</si>
  <si>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</si>
  <si>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</si>
  <si>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</si>
  <si>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</si>
  <si>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</si>
  <si>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</si>
  <si>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</si>
  <si>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</si>
  <si>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</si>
  <si>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</si>
  <si>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</si>
  <si>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</si>
  <si>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</si>
  <si>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</si>
  <si>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</si>
  <si>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</si>
  <si>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</si>
  <si>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</si>
  <si>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</si>
  <si>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</si>
  <si>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</si>
  <si>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</si>
  <si>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</si>
  <si>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</si>
  <si>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</si>
  <si>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</si>
  <si>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</si>
  <si>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</si>
  <si>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</si>
  <si>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</si>
  <si>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</si>
  <si>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</si>
  <si>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</si>
  <si>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</si>
  <si>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</si>
  <si>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</si>
  <si>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</si>
  <si>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</si>
  <si>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</si>
  <si>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</si>
  <si>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</si>
  <si>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</si>
  <si>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</si>
  <si>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</si>
  <si>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</si>
  <si>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</si>
  <si>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</si>
  <si>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</si>
  <si>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</si>
  <si>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</si>
  <si>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</si>
  <si>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</si>
  <si>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</si>
  <si>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</si>
  <si>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</si>
  <si>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</si>
  <si>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</si>
  <si>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</si>
  <si>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</si>
  <si>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</si>
  <si>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</si>
  <si>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</si>
  <si>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</si>
  <si>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</si>
  <si>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</si>
  <si>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</si>
  <si>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</si>
  <si>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</si>
  <si>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</si>
  <si>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</si>
  <si>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</si>
  <si>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</si>
  <si>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</si>
  <si>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</si>
  <si>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</si>
  <si>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</si>
  <si>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</si>
  <si>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</si>
  <si>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</si>
  <si>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</si>
  <si>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</si>
  <si>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</si>
  <si>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</si>
  <si>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</si>
  <si>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</si>
  <si>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</si>
  <si>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</si>
  <si>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</si>
  <si>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</si>
  <si>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</si>
  <si>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</si>
  <si>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</si>
  <si>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</si>
  <si>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</si>
  <si>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</si>
  <si>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</si>
  <si>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</si>
  <si>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</si>
  <si>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</si>
  <si>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</si>
  <si>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</si>
  <si>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</si>
  <si>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</si>
  <si>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</si>
  <si>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</si>
  <si>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</si>
  <si>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</si>
  <si>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</si>
  <si>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</si>
  <si>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</si>
  <si>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</si>
  <si>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</si>
  <si>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</si>
  <si>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</si>
  <si>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</si>
  <si>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</si>
  <si>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</si>
  <si>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</si>
  <si>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</si>
  <si>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</si>
  <si>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</si>
  <si>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</si>
  <si>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</si>
  <si>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</si>
  <si>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</si>
  <si>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</si>
  <si>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</si>
  <si>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</si>
  <si>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</si>
  <si>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</si>
  <si>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</si>
  <si>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</si>
  <si>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</si>
  <si>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</si>
  <si>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</si>
  <si>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</si>
  <si>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</si>
  <si>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</si>
  <si>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</si>
  <si>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</si>
  <si>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</si>
  <si>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</si>
  <si>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</si>
  <si>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</si>
  <si>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</si>
  <si>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</si>
  <si>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</si>
  <si>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</si>
  <si>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</si>
  <si>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</si>
  <si>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</si>
  <si>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</si>
  <si>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</si>
  <si>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</si>
  <si>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</si>
  <si>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</si>
  <si>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</si>
  <si>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</si>
  <si>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</si>
  <si>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</si>
  <si>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</si>
  <si>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</si>
  <si>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</si>
  <si>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</si>
  <si>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</si>
  <si>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</si>
  <si>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</si>
  <si>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</si>
  <si>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</si>
  <si>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</si>
  <si>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</si>
  <si>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</si>
  <si>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</si>
  <si>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</si>
  <si>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</si>
  <si>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</si>
  <si>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</si>
  <si>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</si>
  <si>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</si>
  <si>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</si>
  <si>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</si>
  <si>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</si>
  <si>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</si>
  <si>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</si>
  <si>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</si>
  <si>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</si>
  <si>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</si>
  <si>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</si>
  <si>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</si>
  <si>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</si>
  <si>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</si>
  <si>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</si>
  <si>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</si>
  <si>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</si>
  <si>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</si>
  <si>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</si>
  <si>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</si>
  <si>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</si>
  <si>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</si>
  <si>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</si>
  <si>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</si>
  <si>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</si>
  <si>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</si>
  <si>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</si>
  <si>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</si>
  <si>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</si>
  <si>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</si>
  <si>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</si>
  <si>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</si>
  <si>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</si>
  <si>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</si>
  <si>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</si>
  <si>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</si>
  <si>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</si>
  <si>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</si>
  <si>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</si>
  <si>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</si>
  <si>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</si>
  <si>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</si>
  <si>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</si>
  <si>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</si>
  <si>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</si>
  <si>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</si>
  <si>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</si>
  <si>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</si>
  <si>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</si>
  <si>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</si>
  <si>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</si>
  <si>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</si>
  <si>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</si>
  <si>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</si>
  <si>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</si>
  <si>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</si>
  <si>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</si>
  <si>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</si>
  <si>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</si>
  <si>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</si>
  <si>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</si>
  <si>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</si>
  <si>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</si>
  <si>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</si>
  <si>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</si>
  <si>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</si>
  <si>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</si>
  <si>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</si>
  <si>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</si>
  <si>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</si>
  <si>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</si>
  <si>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</si>
  <si>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</si>
  <si>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</si>
  <si>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</si>
  <si>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</si>
  <si>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</si>
  <si>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</si>
  <si>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</si>
  <si>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</si>
  <si>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</si>
  <si>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</si>
  <si>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</si>
  <si>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</si>
  <si>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</si>
  <si>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</si>
  <si>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</si>
  <si>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</si>
  <si>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</si>
  <si>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</si>
  <si>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</si>
  <si>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</si>
  <si>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</si>
  <si>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</si>
  <si>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</si>
  <si>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</si>
  <si>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</si>
  <si>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</si>
  <si>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</si>
  <si>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</si>
  <si>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</si>
  <si>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</si>
  <si>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</si>
  <si>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</si>
  <si>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</si>
  <si>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</si>
  <si>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</si>
  <si>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</si>
  <si>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</si>
  <si>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</si>
  <si>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</si>
  <si>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</si>
  <si>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</si>
  <si>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</si>
  <si>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</si>
  <si>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</si>
  <si>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</si>
  <si>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</si>
  <si>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</si>
  <si>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</si>
  <si>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</si>
  <si>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</si>
  <si>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</si>
  <si>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</si>
  <si>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</si>
  <si>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</si>
  <si>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</si>
  <si>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</si>
  <si>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</si>
  <si>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</si>
  <si>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</si>
  <si>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</si>
  <si>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</si>
  <si>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</si>
  <si>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</si>
  <si>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</si>
  <si>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</si>
  <si>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</si>
  <si>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</si>
  <si>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</si>
  <si>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</si>
  <si>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</si>
  <si>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</si>
  <si>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</si>
  <si>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</si>
  <si>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</si>
  <si>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</si>
  <si>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</si>
  <si>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</si>
  <si>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</si>
  <si>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</si>
  <si>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</si>
  <si>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</si>
  <si>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</si>
  <si>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</si>
  <si>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</si>
  <si>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</si>
  <si>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</si>
  <si>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</si>
  <si>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</si>
  <si>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</si>
  <si>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</si>
  <si>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</si>
  <si>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</si>
  <si>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</si>
  <si>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</si>
  <si>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</si>
  <si>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</si>
  <si>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</si>
  <si>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</si>
  <si>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</si>
  <si>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</si>
  <si>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</si>
  <si>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</si>
  <si>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</si>
  <si>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</si>
  <si>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</si>
  <si>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</si>
  <si>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</si>
  <si>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</si>
  <si>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</si>
  <si>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</si>
  <si>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</si>
  <si>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</si>
  <si>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</si>
  <si>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</si>
  <si>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</si>
  <si>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</si>
  <si>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</si>
  <si>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</si>
  <si>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</si>
  <si>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</si>
  <si>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</si>
  <si>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</si>
  <si>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</si>
  <si>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</si>
  <si>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</si>
  <si>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</si>
  <si>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</si>
  <si>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</si>
  <si>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</si>
  <si>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</si>
  <si>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</si>
  <si>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</si>
  <si>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</si>
  <si>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</si>
  <si>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</si>
  <si>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</si>
  <si>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</si>
  <si>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</si>
  <si>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</si>
  <si>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</si>
  <si>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</si>
  <si>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</si>
  <si>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</si>
  <si>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</si>
  <si>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</si>
  <si>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</si>
  <si>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</si>
  <si>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</si>
  <si>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</si>
  <si>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</si>
  <si>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</si>
  <si>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</si>
  <si>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</si>
  <si>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</si>
  <si>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</si>
  <si>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</si>
  <si>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</si>
  <si>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</si>
  <si>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</si>
  <si>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</si>
  <si>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</si>
  <si>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</si>
  <si>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</si>
  <si>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</si>
  <si>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</si>
  <si>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</si>
  <si>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</si>
  <si>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</si>
  <si>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</si>
  <si>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</si>
  <si>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</si>
  <si>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</si>
  <si>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</si>
  <si>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</si>
  <si>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</si>
  <si>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</si>
  <si>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</si>
  <si>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</si>
  <si>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</si>
  <si>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</si>
  <si>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</si>
  <si>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</si>
  <si>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</si>
  <si>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</si>
  <si>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</si>
  <si>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</si>
  <si>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</si>
  <si>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</si>
  <si>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</si>
  <si>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</si>
  <si>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</si>
  <si>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</si>
  <si>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</si>
  <si>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</si>
  <si>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</si>
  <si>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</si>
  <si>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</si>
  <si>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</si>
  <si>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</si>
  <si>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</si>
  <si>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</si>
  <si>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</si>
  <si>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</si>
  <si>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</si>
  <si>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</si>
  <si>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</si>
  <si>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</si>
  <si>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</si>
  <si>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</si>
  <si>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</si>
  <si>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</si>
  <si>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</si>
  <si>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</si>
  <si>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</si>
  <si>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</si>
  <si>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</si>
  <si>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</si>
  <si>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</si>
  <si>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</si>
  <si>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</si>
  <si>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</si>
  <si>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</si>
  <si>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</si>
  <si>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</si>
  <si>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</si>
  <si>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</si>
  <si>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</si>
  <si>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</si>
  <si>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</si>
  <si>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</si>
  <si>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</si>
  <si>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</si>
  <si>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</si>
  <si>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</si>
  <si>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</si>
  <si>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</si>
  <si>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</si>
  <si>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</si>
  <si>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</si>
  <si>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</si>
  <si>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</si>
  <si>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</si>
  <si>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</si>
  <si>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</si>
  <si>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</si>
  <si>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</si>
  <si>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</si>
  <si>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</si>
  <si>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</si>
  <si>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</si>
  <si>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</si>
  <si>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</si>
  <si>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</si>
  <si>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</si>
  <si>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</si>
  <si>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</si>
  <si>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</si>
  <si>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</si>
  <si>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</si>
  <si>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</si>
  <si>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</si>
  <si>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</si>
  <si>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</si>
  <si>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</si>
  <si>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</si>
  <si>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</si>
  <si>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</si>
  <si>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</si>
  <si>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</si>
  <si>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</si>
  <si>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</si>
  <si>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</si>
  <si>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</si>
  <si>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</si>
  <si>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</si>
  <si>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</si>
  <si>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</si>
  <si>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</si>
  <si>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</si>
  <si>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</si>
  <si>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</si>
  <si>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</si>
  <si>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</si>
  <si>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</si>
  <si>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</si>
  <si>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</si>
  <si>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</si>
  <si>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</si>
  <si>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</si>
  <si>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</si>
  <si>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</si>
  <si>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</si>
  <si>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</si>
  <si>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</si>
  <si>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</si>
  <si>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</si>
  <si>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</si>
  <si>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</si>
  <si>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</si>
  <si>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</si>
  <si>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</si>
  <si>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</si>
  <si>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</si>
  <si>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</si>
  <si>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</si>
  <si>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</si>
  <si>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</si>
  <si>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</si>
  <si>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</si>
  <si>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</si>
  <si>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</si>
  <si>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</si>
  <si>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</si>
  <si>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</si>
  <si>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</si>
  <si>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</si>
  <si>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</si>
  <si>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</si>
  <si>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</si>
  <si>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</si>
  <si>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</si>
  <si>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</si>
  <si>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</si>
  <si>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</si>
  <si>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</si>
  <si>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</si>
  <si>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</si>
  <si>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</si>
  <si>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</si>
  <si>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</si>
  <si>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</si>
  <si>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</si>
  <si>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</si>
  <si>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</si>
  <si>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</si>
  <si>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</si>
  <si>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</si>
  <si>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</si>
  <si>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</si>
  <si>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</si>
  <si>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</si>
  <si>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</si>
  <si>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</si>
  <si>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</si>
  <si>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</si>
  <si>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</si>
  <si>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</si>
  <si>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</si>
  <si>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</si>
  <si>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</si>
  <si>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</si>
  <si>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</si>
  <si>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</si>
  <si>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</si>
  <si>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</si>
  <si>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</si>
  <si>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</si>
  <si>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</si>
  <si>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</si>
  <si>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</si>
  <si>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</si>
  <si>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</si>
  <si>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</si>
  <si>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</si>
  <si>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</si>
  <si>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</si>
  <si>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</si>
  <si>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</si>
  <si>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</si>
  <si>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</si>
  <si>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</si>
  <si>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</si>
  <si>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</si>
  <si>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</si>
  <si>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</si>
  <si>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</si>
  <si>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</si>
  <si>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</si>
  <si>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</si>
  <si>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</si>
  <si>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</si>
  <si>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</si>
  <si>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</si>
  <si>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</si>
  <si>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</si>
  <si>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</si>
  <si>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</si>
  <si>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</si>
  <si>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</si>
  <si>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</si>
  <si>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</si>
  <si>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</si>
  <si>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</si>
  <si>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</si>
  <si>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</si>
  <si>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</si>
  <si>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</si>
  <si>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</si>
  <si>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</si>
  <si>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</si>
  <si>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</si>
  <si>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</si>
  <si>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</si>
  <si>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</si>
  <si>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</si>
  <si>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</si>
  <si>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</si>
  <si>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</si>
  <si>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</si>
  <si>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</si>
  <si>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</si>
  <si>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</si>
  <si>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</si>
  <si>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</si>
  <si>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</si>
  <si>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</si>
  <si>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</si>
  <si>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</si>
  <si>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</si>
  <si>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</si>
  <si>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</si>
  <si>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</si>
  <si>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</si>
  <si>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</si>
  <si>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</si>
  <si>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</si>
  <si>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</si>
  <si>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</si>
  <si>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</si>
  <si>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</si>
  <si>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</si>
  <si>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</si>
  <si>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</si>
  <si>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</si>
  <si>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</si>
  <si>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</si>
  <si>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</si>
  <si>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</si>
  <si>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</si>
  <si>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</si>
  <si>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</si>
  <si>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</si>
  <si>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</si>
  <si>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</si>
  <si>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</si>
  <si>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</si>
  <si>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</si>
  <si>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</si>
  <si>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</si>
  <si>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</si>
  <si>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</si>
  <si>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</si>
  <si>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</si>
  <si>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</si>
  <si>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</si>
  <si>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</si>
  <si>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</si>
  <si>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</si>
  <si>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</si>
  <si>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</si>
  <si>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</si>
  <si>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</si>
  <si>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</si>
  <si>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</si>
  <si>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</si>
  <si>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</si>
  <si>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</si>
  <si>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</si>
  <si>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</si>
  <si>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</si>
  <si>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</si>
  <si>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</si>
  <si>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</si>
  <si>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</si>
  <si>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</si>
  <si>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</si>
  <si>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</si>
  <si>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</si>
  <si>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</si>
  <si>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</si>
  <si>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</si>
  <si>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</si>
  <si>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</si>
  <si>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</si>
  <si>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</si>
  <si>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</si>
  <si>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</si>
  <si>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</si>
  <si>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</si>
  <si>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</si>
  <si>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</si>
  <si>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</si>
  <si>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</si>
  <si>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</si>
  <si>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</si>
  <si>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</si>
  <si>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</si>
  <si>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</si>
  <si>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</si>
  <si>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</si>
  <si>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</si>
  <si>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</si>
  <si>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</si>
  <si>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</si>
  <si>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</si>
  <si>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</si>
  <si>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</si>
  <si>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</si>
  <si>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</si>
  <si>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</si>
  <si>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</si>
  <si>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</si>
  <si>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</si>
  <si>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</si>
  <si>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</si>
  <si>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</si>
  <si>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</si>
  <si>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</si>
  <si>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</si>
  <si>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</si>
  <si>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</si>
  <si>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</si>
  <si>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</si>
  <si>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</si>
  <si>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</si>
  <si>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</si>
  <si>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</si>
  <si>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</si>
  <si>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</si>
  <si>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</si>
  <si>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</si>
  <si>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</si>
  <si>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</si>
  <si>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</si>
  <si>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</si>
  <si>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</si>
  <si>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</si>
  <si>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</si>
  <si>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</si>
  <si>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</si>
  <si>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</si>
  <si>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</si>
  <si>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</si>
  <si>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</si>
  <si>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</si>
  <si>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</si>
  <si>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</si>
  <si>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</si>
  <si>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</si>
  <si>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</si>
  <si>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</si>
  <si>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</si>
  <si>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</si>
  <si>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</si>
  <si>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</si>
  <si>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</si>
  <si>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</si>
  <si>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</si>
  <si>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</si>
  <si>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</si>
  <si>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</si>
  <si>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</si>
  <si>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</si>
  <si>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</si>
  <si>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</si>
  <si>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</si>
  <si>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</si>
  <si>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</si>
  <si>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</si>
  <si>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</si>
  <si>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</si>
  <si>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</si>
  <si>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</si>
  <si>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</si>
  <si>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</si>
  <si>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</si>
  <si>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</si>
  <si>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</si>
  <si>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</si>
  <si>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</si>
  <si>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</si>
  <si>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</si>
  <si>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</si>
  <si>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</si>
  <si>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</si>
  <si>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</si>
  <si>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</si>
  <si>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</si>
  <si>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</si>
  <si>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</si>
  <si>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</si>
  <si>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</si>
  <si>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</si>
  <si>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</si>
  <si>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</si>
  <si>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</si>
  <si>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</si>
  <si>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</si>
  <si>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</si>
  <si>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</si>
  <si>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</si>
  <si>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</si>
  <si>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</si>
  <si>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</si>
  <si>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</si>
  <si>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</si>
  <si>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</si>
  <si>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</si>
  <si>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</si>
  <si>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</si>
  <si>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</si>
  <si>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</si>
  <si>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</si>
  <si>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</si>
  <si>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</si>
  <si>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</si>
  <si>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</si>
  <si>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</si>
  <si>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</si>
  <si>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</si>
  <si>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</si>
  <si>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</si>
  <si>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</si>
  <si>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</si>
  <si>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</si>
  <si>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</si>
  <si>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</si>
  <si>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</si>
  <si>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</si>
  <si>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</si>
  <si>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</si>
  <si>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</si>
  <si>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</si>
  <si>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</si>
  <si>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</si>
  <si>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</si>
  <si>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</si>
  <si>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</si>
  <si>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</si>
  <si>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</si>
  <si>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</si>
  <si>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</si>
  <si>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</si>
  <si>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</si>
  <si>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</si>
  <si>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</si>
  <si>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</si>
  <si>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</si>
  <si>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</si>
  <si>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</si>
  <si>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</si>
  <si>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</si>
  <si>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</si>
  <si>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</si>
  <si>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</si>
  <si>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</si>
  <si>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</si>
  <si>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</si>
  <si>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</si>
  <si>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</si>
  <si>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</si>
  <si>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</si>
  <si>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</si>
  <si>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</si>
  <si>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</si>
  <si>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</si>
  <si>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</si>
  <si>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</si>
  <si>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</si>
  <si>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</si>
  <si>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</si>
  <si>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</si>
  <si>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</si>
  <si>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</si>
  <si>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</si>
  <si>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</si>
  <si>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</si>
  <si>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</si>
  <si>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</si>
  <si>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</si>
  <si>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</si>
  <si>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</si>
  <si>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</si>
  <si>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</si>
  <si>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</si>
  <si>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</si>
  <si>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</si>
  <si>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</si>
  <si>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</si>
  <si>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</si>
  <si>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</si>
  <si>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</si>
  <si>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</si>
  <si>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</si>
  <si>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</si>
  <si>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</si>
  <si>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</si>
  <si>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</si>
  <si>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</si>
  <si>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</si>
  <si>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</si>
  <si>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</si>
  <si>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</si>
  <si>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</si>
  <si>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</si>
  <si>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</si>
  <si>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</si>
  <si>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</si>
  <si>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</si>
  <si>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</si>
  <si>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</si>
  <si>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</si>
  <si>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</si>
  <si>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</si>
  <si>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</si>
  <si>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</si>
  <si>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</si>
  <si>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</si>
  <si>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</si>
  <si>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</si>
  <si>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</si>
  <si>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</si>
  <si>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</si>
  <si>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</si>
  <si>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</si>
  <si>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</si>
  <si>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</si>
  <si>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</si>
  <si>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</si>
  <si>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</si>
  <si>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</si>
  <si>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</si>
  <si>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</si>
  <si>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</si>
  <si>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</si>
  <si>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</si>
  <si>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</si>
  <si>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</si>
  <si>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</si>
  <si>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</si>
  <si>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</si>
  <si>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</si>
  <si>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</si>
  <si>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</si>
  <si>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</si>
  <si>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</si>
  <si>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</si>
  <si>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</si>
  <si>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</si>
  <si>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</si>
  <si>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</si>
  <si>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</si>
  <si>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</si>
  <si>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</si>
  <si>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</si>
  <si>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</si>
  <si>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</si>
  <si>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</si>
  <si>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</si>
  <si>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</si>
  <si>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</si>
  <si>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</si>
  <si>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</si>
  <si>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</si>
  <si>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</si>
  <si>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</si>
  <si>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</si>
  <si>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</si>
  <si>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</si>
  <si>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</si>
  <si>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</si>
  <si>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</si>
  <si>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</si>
  <si>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</si>
  <si>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</si>
  <si>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</si>
  <si>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</si>
  <si>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</si>
  <si>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</si>
  <si>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</si>
  <si>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</si>
  <si>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</si>
  <si>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</si>
  <si>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</si>
  <si>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</si>
  <si>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</si>
  <si>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</si>
  <si>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</si>
  <si>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</si>
  <si>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</si>
  <si>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</si>
  <si>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</si>
  <si>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</si>
  <si>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</si>
  <si>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</si>
  <si>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</si>
  <si>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</si>
  <si>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</si>
  <si>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</si>
  <si>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</si>
  <si>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</si>
  <si>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</si>
  <si>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</si>
  <si>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</si>
  <si>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</si>
  <si>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</si>
  <si>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</si>
  <si>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</si>
  <si>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</si>
  <si>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</si>
  <si>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</si>
  <si>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</si>
  <si>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</si>
  <si>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</si>
  <si>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</si>
  <si>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</si>
  <si>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</si>
  <si>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</si>
  <si>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</si>
  <si>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</si>
  <si>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</si>
  <si>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</si>
  <si>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</si>
  <si>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</si>
  <si>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</si>
  <si>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</si>
  <si>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</si>
  <si>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</si>
  <si>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</si>
  <si>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</si>
  <si>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</si>
  <si>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</si>
  <si>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</si>
  <si>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</si>
  <si>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</si>
  <si>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</si>
  <si>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</si>
  <si>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</si>
  <si>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</si>
  <si>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</si>
  <si>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</si>
  <si>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</si>
  <si>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</si>
  <si>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</si>
  <si>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</si>
  <si>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</si>
  <si>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</si>
  <si>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</si>
  <si>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</si>
  <si>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</si>
  <si>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</si>
  <si>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</si>
  <si>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</si>
  <si>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</si>
  <si>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</si>
  <si>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</si>
  <si>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</si>
  <si>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</si>
  <si>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</si>
  <si>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</si>
  <si>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</si>
  <si>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</si>
  <si>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</si>
  <si>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</si>
  <si>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</si>
  <si>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</si>
  <si>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</si>
  <si>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</si>
  <si>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</si>
  <si>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</si>
  <si>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</si>
  <si>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</si>
  <si>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</si>
  <si>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</si>
  <si>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</si>
  <si>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</si>
  <si>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</si>
  <si>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</si>
  <si>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</si>
  <si>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</si>
  <si>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</si>
  <si>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</si>
  <si>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</si>
  <si>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</si>
  <si>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</si>
  <si>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</si>
  <si>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</si>
  <si>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</si>
  <si>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</si>
  <si>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</si>
  <si>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</si>
  <si>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</si>
  <si>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</si>
  <si>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</si>
  <si>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</si>
  <si>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</si>
  <si>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</si>
  <si>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</si>
  <si>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</si>
  <si>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</si>
  <si>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</si>
  <si>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</si>
  <si>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</si>
  <si>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</si>
  <si>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</si>
  <si>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</si>
  <si>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</si>
  <si>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</si>
  <si>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</si>
  <si>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</si>
  <si>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</si>
  <si>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</si>
  <si>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</si>
  <si>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</si>
  <si>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</si>
  <si>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</si>
  <si>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</si>
  <si>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</si>
  <si>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</si>
  <si>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</si>
  <si>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</si>
  <si>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</si>
  <si>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</si>
  <si>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</si>
  <si>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</si>
  <si>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</si>
  <si>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</si>
  <si>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</si>
  <si>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</si>
  <si>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</si>
  <si>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</si>
  <si>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</si>
  <si>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</si>
  <si>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</si>
  <si>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</si>
  <si>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</si>
  <si>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</si>
  <si>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</si>
  <si>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</si>
  <si>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</si>
  <si>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</si>
  <si>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</si>
  <si>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</si>
  <si>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</si>
  <si>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</si>
  <si>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</si>
  <si>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</si>
  <si>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</si>
  <si>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</si>
  <si>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</si>
  <si>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</si>
  <si>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</si>
  <si>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</si>
  <si>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</si>
  <si>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</si>
  <si>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</si>
  <si>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</si>
  <si>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</si>
  <si>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</si>
  <si>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</si>
  <si>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</si>
  <si>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</si>
  <si>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</si>
  <si>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</si>
  <si>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</si>
  <si>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</si>
  <si>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</si>
  <si>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</si>
  <si>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</si>
  <si>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</si>
  <si>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</si>
  <si>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</si>
  <si>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</si>
  <si>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</si>
  <si>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</si>
  <si>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</si>
  <si>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</si>
  <si>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</si>
  <si>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</si>
  <si>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</si>
  <si>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</si>
  <si>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</si>
  <si>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</si>
  <si>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</si>
  <si>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</si>
  <si>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</si>
  <si>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</si>
  <si>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</si>
  <si>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</si>
  <si>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</si>
  <si>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</si>
  <si>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</si>
  <si>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</si>
  <si>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</si>
  <si>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</si>
  <si>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</si>
  <si>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</si>
  <si>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</si>
  <si>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</si>
  <si>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</si>
  <si>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</si>
  <si>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</si>
  <si>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</si>
  <si>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</si>
  <si>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</si>
  <si>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</si>
  <si>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</si>
  <si>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</si>
  <si>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</si>
  <si>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</si>
  <si>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</si>
  <si>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</si>
  <si>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</si>
  <si>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</si>
  <si>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</si>
  <si>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</si>
  <si>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</si>
  <si>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</si>
  <si>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</si>
  <si>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</si>
  <si>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</si>
  <si>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</si>
  <si>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</si>
  <si>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</si>
  <si>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</si>
  <si>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</si>
  <si>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</si>
  <si>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</si>
  <si>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</si>
  <si>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</si>
  <si>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</si>
  <si>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</si>
  <si>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</si>
  <si>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</si>
  <si>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</si>
  <si>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</si>
  <si>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</si>
  <si>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</si>
  <si>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</si>
  <si>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</si>
  <si>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</si>
  <si>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</si>
  <si>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</si>
  <si>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</si>
  <si>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</si>
  <si>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</si>
  <si>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</si>
  <si>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</si>
  <si>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</si>
  <si>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</si>
  <si>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</si>
  <si>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</si>
  <si>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</si>
  <si>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</si>
  <si>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</si>
  <si>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</si>
  <si>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</si>
  <si>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</si>
  <si>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</si>
  <si>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</si>
  <si>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</si>
  <si>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</si>
  <si>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</si>
  <si>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</si>
  <si>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</si>
  <si>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</si>
  <si>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</si>
  <si>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</si>
  <si>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</si>
  <si>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</si>
  <si>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</si>
  <si>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</si>
  <si>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</si>
  <si>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</si>
  <si>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</si>
  <si>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</si>
  <si>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</si>
  <si>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</si>
  <si>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</si>
  <si>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</si>
  <si>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</si>
  <si>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</si>
  <si>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</si>
  <si>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</si>
  <si>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</si>
  <si>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</si>
  <si>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</si>
  <si>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</si>
  <si>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</si>
  <si>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</si>
  <si>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</si>
  <si>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</si>
  <si>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</si>
  <si>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</si>
  <si>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</si>
  <si>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</si>
  <si>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</si>
  <si>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</si>
  <si>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</si>
  <si>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</si>
  <si>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</si>
  <si>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</si>
  <si>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</si>
  <si>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</si>
  <si>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</si>
  <si>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</si>
  <si>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</si>
  <si>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</si>
  <si>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</si>
  <si>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</si>
  <si>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</si>
  <si>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</si>
  <si>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</si>
  <si>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</si>
  <si>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</si>
  <si>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</si>
  <si>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</si>
  <si>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</si>
  <si>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</si>
  <si>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</si>
  <si>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</si>
  <si>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</si>
  <si>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</si>
  <si>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</si>
  <si>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</si>
  <si>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</si>
  <si>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</si>
  <si>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</si>
  <si>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</si>
  <si>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</si>
  <si>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</si>
  <si>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</si>
  <si>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</si>
  <si>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</si>
  <si>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</si>
  <si>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</si>
  <si>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</si>
  <si>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</si>
  <si>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</si>
  <si>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</si>
  <si>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</si>
  <si>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</si>
  <si>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</si>
  <si>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</si>
  <si>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</si>
  <si>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</si>
  <si>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</si>
  <si>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</si>
  <si>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</si>
  <si>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</si>
  <si>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</si>
  <si>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</si>
  <si>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</si>
  <si>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</si>
  <si>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</si>
  <si>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</si>
  <si>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</si>
  <si>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</si>
  <si>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</si>
  <si>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</si>
  <si>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</si>
  <si>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</si>
  <si>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</si>
  <si>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</si>
  <si>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</si>
  <si>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</si>
  <si>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</si>
  <si>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</si>
  <si>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</si>
  <si>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</si>
  <si>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</si>
  <si>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</si>
  <si>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</si>
  <si>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</si>
  <si>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</si>
  <si>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</si>
  <si>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</si>
  <si>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</si>
  <si>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</si>
  <si>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</si>
  <si>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</si>
  <si>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</si>
  <si>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</si>
  <si>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</si>
  <si>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</si>
  <si>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</si>
  <si>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</si>
  <si>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</si>
  <si>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</si>
  <si>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</si>
  <si>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</si>
  <si>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</si>
  <si>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</si>
  <si>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</si>
  <si>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</si>
  <si>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</si>
  <si>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</si>
  <si>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</si>
  <si>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</si>
  <si>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</si>
  <si>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</si>
  <si>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</si>
  <si>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</si>
  <si>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</si>
  <si>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</si>
  <si>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</si>
  <si>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</si>
  <si>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</si>
  <si>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</si>
  <si>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</si>
  <si>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</si>
  <si>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</si>
  <si>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</si>
  <si>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</si>
  <si>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</si>
  <si>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</si>
  <si>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</si>
  <si>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</si>
  <si>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</si>
  <si>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</si>
  <si>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</si>
  <si>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</si>
  <si>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</si>
  <si>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</si>
  <si>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</si>
  <si>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</si>
  <si>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</si>
  <si>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</si>
  <si>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</si>
  <si>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</si>
  <si>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</si>
  <si>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</si>
  <si>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</si>
  <si>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</si>
  <si>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</si>
  <si>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</si>
  <si>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</si>
  <si>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</si>
  <si>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</si>
  <si>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</si>
  <si>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</si>
  <si>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</si>
  <si>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</si>
  <si>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</si>
  <si>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</si>
  <si>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</si>
  <si>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</si>
  <si>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</si>
  <si>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</si>
  <si>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</si>
  <si>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</si>
  <si>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</si>
  <si>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</si>
  <si>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</si>
  <si>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</si>
  <si>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</si>
  <si>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</si>
  <si>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</si>
  <si>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</si>
  <si>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</si>
  <si>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</si>
  <si>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</si>
  <si>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</si>
  <si>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</si>
  <si>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</si>
  <si>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</si>
  <si>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</si>
  <si>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</si>
  <si>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</si>
  <si>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</si>
  <si>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</si>
  <si>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</si>
  <si>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</si>
  <si>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</si>
  <si>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</si>
  <si>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</si>
  <si>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</si>
  <si>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</si>
  <si>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</si>
  <si>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</si>
  <si>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</si>
  <si>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</si>
  <si>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</si>
  <si>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</si>
  <si>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</si>
  <si>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</si>
  <si>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</si>
  <si>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</si>
  <si>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</si>
  <si>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</si>
  <si>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</si>
  <si>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</si>
  <si>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</si>
  <si>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</si>
  <si>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</si>
  <si>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</si>
  <si>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</si>
  <si>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</si>
  <si>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</si>
  <si>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</si>
  <si>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</si>
  <si>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</si>
  <si>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</si>
  <si>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</si>
  <si>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</si>
  <si>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</si>
  <si>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</si>
  <si>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</si>
  <si>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</si>
  <si>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</si>
  <si>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</si>
  <si>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</si>
  <si>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</si>
  <si>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</si>
  <si>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</si>
  <si>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</si>
  <si>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</si>
  <si>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</si>
  <si>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</si>
  <si>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</si>
  <si>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</si>
  <si>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</si>
  <si>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</si>
  <si>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</si>
  <si>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</si>
  <si>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Average Donation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</si>
  <si>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</si>
  <si>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</si>
  <si>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</si>
  <si>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</si>
  <si>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</si>
  <si>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</si>
  <si>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</si>
  <si>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</si>
  <si>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</si>
  <si>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</si>
  <si>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</si>
  <si>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</si>
  <si>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</si>
  <si>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</si>
  <si>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</si>
  <si>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</si>
  <si>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</si>
  <si>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</si>
  <si>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</si>
  <si>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</si>
  <si>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</si>
  <si>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</si>
  <si>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</si>
  <si>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</si>
  <si>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</si>
  <si>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</si>
  <si>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</si>
  <si>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</si>
  <si>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</si>
  <si>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</si>
  <si>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</si>
  <si>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</si>
  <si>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</si>
  <si>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</si>
  <si>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Success</t>
  </si>
  <si>
    <t>Failure</t>
  </si>
  <si>
    <t>Mean Number of Backers</t>
  </si>
  <si>
    <t>Median Number of Backers</t>
  </si>
  <si>
    <t>Minimum Number of Backers</t>
  </si>
  <si>
    <t>Maximum Number of Backers</t>
  </si>
  <si>
    <t>Variance of Backers</t>
  </si>
  <si>
    <t>Standard Deviation of Backers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</si>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</sst>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9" fontId="0" fillId="0" borderId="0" xfId="1" applyFont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3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[DamoreExcelChallenge.xlsx]State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per Category</a:t>
            </a:r>
            <a:endParaRPr lang="en-US"/>
          </a:p>
        </c:rich>
      </c:tx>
      <c:layout>
        <c:manualLayout>
          <c:xMode val="edge"/>
          <c:yMode val="edge"/>
          <c:x val="0.28612327305240692"/>
          <c:y val="8.3828970919919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</c:pivotFmt>
      <c:pivotFmt>
        <c:idx val="14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58650361012567"/>
          <c:y val="0.19618303128625422"/>
          <c:w val="0.6682151269552844"/>
          <c:h val="0.52567772343503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C-4430-998A-AA2C14B2DAE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67C-4430-998A-AA2C14B2DAE2}"/>
              </c:ext>
            </c:extLst>
          </c:dPt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7C-4430-998A-AA2C14B2DAE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7C-4430-998A-AA2C14B2DAE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7C-4430-998A-AA2C14B2D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875776"/>
        <c:axId val="233355088"/>
      </c:barChart>
      <c:catAx>
        <c:axId val="23487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38803687524925107"/>
              <c:y val="0.896051075020330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55088"/>
        <c:crosses val="autoZero"/>
        <c:auto val="1"/>
        <c:lblAlgn val="ctr"/>
        <c:lblOffset val="100"/>
        <c:noMultiLvlLbl val="0"/>
      </c:catAx>
      <c:valAx>
        <c:axId val="2333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[DamoreExcelChallenge.xlsx]State Per 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per Sub-Category</a:t>
            </a:r>
          </a:p>
        </c:rich>
      </c:tx>
      <c:layout>
        <c:manualLayout>
          <c:xMode val="edge"/>
          <c:yMode val="edge"/>
          <c:x val="0.30594799616990026"/>
          <c:y val="5.7523522090451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65247422584574"/>
          <c:y val="0.16563163019855934"/>
          <c:w val="0.68153055248259253"/>
          <c:h val="0.464252742362978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D-46A6-8635-6DBE77D3EE23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D8-4AC4-869F-F8EDCB0CDBEB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D8-4AC4-869F-F8EDCB0CDBEB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4D8-4AC4-869F-F8EDCB0CD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1590480"/>
        <c:axId val="233362160"/>
      </c:barChart>
      <c:catAx>
        <c:axId val="24159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62160"/>
        <c:crosses val="autoZero"/>
        <c:auto val="1"/>
        <c:lblAlgn val="ctr"/>
        <c:lblOffset val="100"/>
        <c:noMultiLvlLbl val="0"/>
      </c:catAx>
      <c:valAx>
        <c:axId val="2333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5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99799198653887"/>
          <c:y val="0.16479921582283788"/>
          <c:w val="6.7883366141732279E-2"/>
          <c:h val="0.222756232070982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[DamoreExcelChallenge.xlsx]Outcomes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'Outcomes Based on Launch Date'!$B$6:$B$12</c:f>
              <c:numCache>
                <c:formatCode>General</c:formatCode>
                <c:ptCount val="6"/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4-4704-9A65-5456B8BD7E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'Outcomes Based on Launch Date'!$C$6:$C$12</c:f>
              <c:numCache>
                <c:formatCode>General</c:formatCode>
                <c:ptCount val="6"/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4-4704-9A65-5456B8BD7E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'Outcomes Based on Launch Date'!$D$6:$D$12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4-4704-9A65-5456B8BD7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15088"/>
        <c:axId val="393892032"/>
      </c:lineChart>
      <c:catAx>
        <c:axId val="7721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92032"/>
        <c:crosses val="autoZero"/>
        <c:auto val="1"/>
        <c:lblAlgn val="ctr"/>
        <c:lblOffset val="100"/>
        <c:noMultiLvlLbl val="0"/>
      </c:catAx>
      <c:valAx>
        <c:axId val="3938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2.2750775594622543E-2"/>
              <c:y val="0.391202833516778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vs</a:t>
            </a:r>
            <a:r>
              <a:rPr lang="en-US" baseline="0"/>
              <a:t>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E-4E40-930D-31CED0E97E0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E-4E40-930D-31CED0E97E0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E-4E40-930D-31CED0E97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04720"/>
        <c:axId val="391204192"/>
      </c:lineChart>
      <c:catAx>
        <c:axId val="29240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($)</a:t>
                </a:r>
              </a:p>
            </c:rich>
          </c:tx>
          <c:layout>
            <c:manualLayout>
              <c:xMode val="edge"/>
              <c:yMode val="edge"/>
              <c:x val="0.4712331814360346"/>
              <c:y val="0.7885762206208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04192"/>
        <c:crosses val="autoZero"/>
        <c:auto val="1"/>
        <c:lblAlgn val="ctr"/>
        <c:lblOffset val="100"/>
        <c:noMultiLvlLbl val="0"/>
      </c:catAx>
      <c:valAx>
        <c:axId val="3912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0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104774</xdr:rowOff>
    </xdr:from>
    <xdr:to>
      <xdr:col>14</xdr:col>
      <xdr:colOff>241300</xdr:colOff>
      <xdr:row>21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9EE10-554E-4E5D-A455-C12772E0F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22224</xdr:rowOff>
    </xdr:from>
    <xdr:to>
      <xdr:col>23</xdr:col>
      <xdr:colOff>425450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A8FB2-1DCC-4829-990A-BC4451847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1</xdr:row>
      <xdr:rowOff>31750</xdr:rowOff>
    </xdr:from>
    <xdr:to>
      <xdr:col>15</xdr:col>
      <xdr:colOff>476250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BCAE2-AB14-419C-84F8-B66FD6CFD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14</xdr:row>
      <xdr:rowOff>34924</xdr:rowOff>
    </xdr:from>
    <xdr:to>
      <xdr:col>6</xdr:col>
      <xdr:colOff>755649</xdr:colOff>
      <xdr:row>32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5E731-40F8-42C7-9417-190E8DC3D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amore" refreshedDate="43892.41796712963" createdVersion="6" refreshedVersion="6" minRefreshableVersion="3" recordCount="4114" xr:uid="{FA12625E-1C15-4114-A78E-61F3C5CC5CE3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amore" refreshedDate="43892.443030671297" createdVersion="6" refreshedVersion="6" minRefreshableVersion="3" recordCount="4115" xr:uid="{95691018-6488-4FE8-8489-6C1E6E498682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9583D-3431-42AA-9863-132DADC6EC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40712-3D15-4F9D-90C3-1F5D4DAE299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5ADF2-6E2B-4EFF-99DF-E1D8FBF43BE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7">
    <i>
      <x v="5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item="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selection activeCell="K84" sqref="K1:K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7" bestFit="1" customWidth="1"/>
    <col min="16" max="16" width="16" bestFit="1" customWidth="1"/>
    <col min="17" max="17" width="23.81640625" bestFit="1" customWidth="1"/>
    <col min="18" max="18" width="17.6328125" bestFit="1" customWidth="1"/>
    <col min="19" max="19" width="22.089843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8359</v>
      </c>
      <c r="Q1" s="1" t="s">
        <v>8307</v>
      </c>
      <c r="R1" s="1" t="s">
        <v>8358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ROUND(E2/L2,2)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ROUND(E3/L3,2)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ROUND(E67/L67,2)</f>
        <v>132.05000000000001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62.33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37.409999999999997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69.72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85.96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30.67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40.270000000000003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273.83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53.04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40.01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71.430000000000007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71.709999999999994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31.38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78.260000000000005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21.67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50.59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53.13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56.67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40.78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192.31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27.9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39.380000000000003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111.38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102.08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28.73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69.790000000000006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167.49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25.17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11.67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311.17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ROUND(E131/L131,2)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94.51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81.239999999999995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46.18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55.95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37.56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91.43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30.85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ROUND(E195/L195,2)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77.11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87.31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54.29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163.85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91.82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331.54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314.29000000000002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115.99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117.85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73.02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78.2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47.4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68.489999999999995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108.15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589.95000000000005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57.08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89.39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45.42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65.760000000000005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ROUND(E259/L259,2)</f>
        <v>66.7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83.35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105.05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41.38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64.95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95.78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40.42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45.67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65.3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95.23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87.69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54.75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101.83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55.07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91.19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115.45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28.58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154.41999999999999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230.09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141.75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85.34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61.5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93.02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42.52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89.96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138.80000000000001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95.7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ROUND(E323/L323,2)</f>
        <v>106.62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114.59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105.32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147.16999999999999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156.05000000000001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97.36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109.19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59.25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72.87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146.35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67.91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90.58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71.900000000000006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129.82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40.76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125.45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246.61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79.400000000000006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86.14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193.05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139.83000000000001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347.85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68.239999999999995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239.94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86.85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81.849999999999994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709.42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161.26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41.78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42.86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103.22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40.4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ROUND(E387/L387,2)</f>
        <v>111.8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71.430000000000007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104.26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90.62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157.33000000000001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58.72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75.19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133.13999999999999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92.32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183.29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68.099999999999994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48.09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110.07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50.17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16.63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51.88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170.55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393.59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47.88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ROUND(E451/L451,2)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20.329999999999998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16.760000000000002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38.479999999999997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39.57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71.67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73.459999999999994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12.67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133.33000000000001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ROUND(E515/L515,2)</f>
        <v>102.38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16.670000000000002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725.03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39.229999999999997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150.15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93.43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71.790000000000006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29.26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74.349999999999994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63.83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71.239999999999995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34.75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40.85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252.02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402.71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135.04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ROUND(E579/L579,2)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389.29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24.78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16.43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45.39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16.38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37.89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76.67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ROUND(E643/L643,2)</f>
        <v>151.32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134.36000000000001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174.03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73.489999999999995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23.52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35.130000000000003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42.89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122.74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109.34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143.66999999999999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10.56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155.33000000000001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178.93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85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50.3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34.270000000000003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65.180000000000007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591.66999999999996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343.15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72.59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6.5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119.39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84.29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90.86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530.69000000000005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ROUND(E707/L707,2)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117.7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23.95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80.319999999999993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44.69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66.709999999999994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51.63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143.36000000000001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72.430000000000007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99.77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234.81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105.05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56.67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39.049999999999997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68.349999999999994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169.58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141.41999999999999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54.27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82.52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53.73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34.21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45.57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57.34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492.31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42.35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37.47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37.450000000000003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33.06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39.17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57.3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ROUND(E771/L771,2)</f>
        <v>31.85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66.67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38.520000000000003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63.49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162.27000000000001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80.59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132.86000000000001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92.55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60.86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88.33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45.44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46.22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178.61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81.069999999999993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74.61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305.56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79.83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86.67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27.61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25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89.42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224.13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43.52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39.82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126.81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113.88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36.61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60.66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ROUND(E835/L835,2)</f>
        <v>148.78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58.63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109.71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60.74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63.38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36.630000000000003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34.01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46.67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37.270000000000003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59.26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22.74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52.92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34.18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346.67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28.58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46.59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21.47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14.13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83.38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29.29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27.86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ROUND(E899/L899,2)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32.67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41.67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50.67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37.450000000000003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69.41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58.42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158.63999999999999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99.86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50.65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33.29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113.63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ROUND(E963/L963,2)</f>
        <v>364.35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19.239999999999998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41.89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49.67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43.98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1272.73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153.88999999999999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51.38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108.63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790.84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301.94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82.09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110.87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161.22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52.41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30.29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89.6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80.67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8.1300000000000008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153.43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292.08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134.55000000000001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214.07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174.95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1389.36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74.790000000000006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22.08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36.21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388.98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ROUND(E1027/L1027,2)</f>
        <v>71.849999999999994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69.67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45.99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79.260000000000005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61.03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39.159999999999997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65.16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35.74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65.67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34.130000000000003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40.479999999999997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113.57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43.98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37.67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18.579999999999998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18.670000000000002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43.42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ROUND(E1091/L1091,2)</f>
        <v>23.96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267.81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74.209999999999994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17.71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80.3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34.880000000000003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17.850000000000001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10.38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3.67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3.67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110.62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253.21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44.17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ROUND(E1155/L1155,2)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11.67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60.79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358.88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61.19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69.12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118.74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130.16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37.78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19.329999999999998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79.97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76.44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54.62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299.22000000000003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165.35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234.79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32.340000000000003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123.38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207.07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493.82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38.869999999999997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61.53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ROUND(E1219/L1219,2)</f>
        <v>148.57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111.18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23.8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81.27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58.89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48.43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19.329999999999998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30.13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74.62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64.47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94.49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55.7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38.18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27.15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50.69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77.64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43.54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140.86000000000001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99.16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189.29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76.67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46.07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53.01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73.36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127.98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ROUND(E1283/L1283,2)</f>
        <v>104.73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32.270000000000003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65.87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44.19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27.73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39.83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92.04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135.63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90.62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129.16999999999999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102.02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162.91999999999999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603.53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45.41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167.67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859.86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54.67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41.59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379.23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66.069999999999993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89.65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158.36000000000001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ROUND(E1347/L1347,2)</f>
        <v>53.57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48.45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82.42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66.7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168.78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25.35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38.549999999999997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68.37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81.739999999999995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64.540000000000006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63.48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83.97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55.61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48.71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30.58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73.91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73.36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50.25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68.94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160.79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27.32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196.83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47.76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72.06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17.239999999999998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62.17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6.18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ROUND(E1411/L1411,2)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24.62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88.89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44.67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28.94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34.869999999999997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69.599999999999994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96.88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ROUND(E1475/L1475,2)</f>
        <v>38.46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90.5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29.19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30.96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92.16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47.11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40.450000000000003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67.84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67.16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48.04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78.180000000000007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39.92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75.98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58.38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39.51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130.53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64.16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170.45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221.79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32.32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98.84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135.66999999999999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82.32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66.02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ROUND(E1539/L1539,2)</f>
        <v>96.38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156.16999999999999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14.43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132.19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56.42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11.67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47.77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41.67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65.459999999999994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131.66999999999999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44.48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40.78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ROUND(E1603/L1603,2)</f>
        <v>48.33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66.69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87.83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70.790000000000006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52.83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66.69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86.96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112.02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61.58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45.88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75.849999999999994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84.21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117.23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86.49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67.73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38.89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94.74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39.97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42.86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88.47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64.709999999999994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44.65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156.77000000000001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74.150000000000006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80.180000000000007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34.380000000000003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ROUND(E1667/L1667,2)</f>
        <v>44.96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52.6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44.61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26.15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89.25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40.42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159.52000000000001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74.58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80.13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171.43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57.73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159.33000000000001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61.09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114.82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115.71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34.020000000000003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11.67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28.13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216.67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ROUND(E1731/L1731,2)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56.67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25.58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207.62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94.74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80.650000000000006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168.69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462.86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414.29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108.78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81.099999999999994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51.67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103.64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58.62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49.14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45.16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98.79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88.31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170.63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51.23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44.94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31.21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63.88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109.07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109.94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ROUND(E1795/L1795,2)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55.39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63.65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94.28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71.87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104.85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67.14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73.88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69.13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1.54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37.61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42.16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213.38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24.58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53.16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83.89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75.77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67.39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73.569999999999993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131.16999999999999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35.770000000000003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50.88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79.53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134.21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37.630000000000003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88.04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70.58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53.29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ROUND(E1859/L1859,2)</f>
        <v>136.36000000000001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40.549999999999997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70.63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90.94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71.59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49.12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16.309999999999999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49.34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41.73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32.72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50.69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416.88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70.53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87.96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57.78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35.549999999999997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34.1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70.599999999999994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2928.93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29.63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ROUND(E1923/L1923,2)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36.11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31.83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27.39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77.349999999999994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48.85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70.209999999999994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60.27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35.840000000000003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64.569999999999993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87.44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68.819999999999993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188.51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51.31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230.56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842.11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577.28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76.14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74.11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36.97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2500.9699999999998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63.05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136.63999999999999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279.38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80.73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272.36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70.849999999999994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131.99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282.66000000000003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88.69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ROUND(E1987/L1987,2)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83.43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46.67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128.38999999999999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84.46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55.28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64.180000000000007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173.58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192.39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73.42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108.97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23.65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147.94999999999999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385.04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282.72000000000003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593.94000000000005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262.16000000000003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70.040000000000006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164.91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143.97999999999999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88.24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36.33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90.18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55.81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91.83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ROUND(E2051/L2051,2)</f>
        <v>80.989999999999995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43.1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326.29000000000002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99.46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45.55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10.51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114.77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36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154.16999999999999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566.39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67.260000000000005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244.12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226.21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20.47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546.69000000000005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72.91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70.650000000000006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48.55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88.15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66.83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58.6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78.95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188.13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51.48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35.79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37.15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89.9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106.53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54.62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ROUND(E2115/L2115,2)</f>
        <v>68.599999999999994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94.03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526.46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50.66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79.180000000000007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31.56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19.670000000000002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34.67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21.73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10.67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29.04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50.91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19.670000000000002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17.989999999999998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370.95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63.57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35.619999999999997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68.010000000000005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91.63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64.37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21.86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90.28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67.31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88.75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ROUND(E2179/L2179,2)</f>
        <v>65.87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40.35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76.86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68.709999999999994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107.05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55.96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44.06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68.63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65.319999999999993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75.650000000000006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81.650000000000006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41.23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15.04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39.07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33.24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285.70999999999998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50.27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55.8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73.13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37.200000000000003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82.15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164.8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25.43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41.61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135.59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22.12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64.63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69.569999999999993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140.97999999999999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ROUND(E2243/L2243,2)</f>
        <v>49.47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53.87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53.48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32.82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23.81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90.64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97.3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37.119999999999997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35.119999999999997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188.38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148.08000000000001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37.479999999999997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33.549999999999997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64.75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53.08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46.09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53.83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100.47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65.209999999999994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44.21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52.95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75.040000000000006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46.18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53.47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ROUND(E2307/L2307,2)</f>
        <v>109.11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51.19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27.94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82.5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59.82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64.819999999999993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90.1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40.08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37.130000000000003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11.43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219.93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40.799999999999997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60.87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74.180000000000007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15.43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97.41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47.86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ROUND(E2371/L2371,2)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18.329999999999998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224.43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57.88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16.829999999999998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76.67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35.380000000000003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ROUND(E2435/L2435,2)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74.23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130.22999999999999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75.67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47.78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62.07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69.27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34.130000000000003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189.76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108.78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125.99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27.56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28.66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37.65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131.58000000000001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129.11000000000001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26.57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37.94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27.78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38.85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45.55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ROUND(E2499/L2499,2)</f>
        <v>80.55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47.68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23.45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53.55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177.21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100.33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57.54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82.33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135.41999999999999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74.069999999999993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61.03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266.08999999999997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169.92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55.77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30.08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88.44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67.42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38.880000000000003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54.99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23.12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ROUND(E2563/L2563,2)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29.13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305.77999999999997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64.930000000000007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60.97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81.95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58.93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55.76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120.31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35.549999999999997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74.64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47.06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36.770000000000003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ROUND(E2627/L2627,2)</f>
        <v>27.58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21.56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44.1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38.99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80.19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10.039999999999999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39.479999999999997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17.670000000000002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95.28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373.56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174.04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77.33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70.62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128.62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5.29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ROUND(E2691/L2691,2)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72.760000000000005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23.67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116.56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34.130000000000003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132.35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217.38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71.239999999999995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53.95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92.39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125.98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94.64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170.7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95.49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261.75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69.760000000000005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77.23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67.42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138.66999999999999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169.52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18.239999999999998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37.950000000000003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35.729999999999997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42.16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39.29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ROUND(E2755/L2755,2)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17.329999999999998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31.76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43.85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93.67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66.67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36.86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126.46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47.88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73.209999999999994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89.67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87.36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44.86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67.739999999999995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65.38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47.46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37.21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ROUND(E2819/L2819,2)</f>
        <v>23.64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63.83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8.86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50.67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104.57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98.31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35.04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272.73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63.85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30.19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64.760000000000005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40.479999999999997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44.54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125.81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19.7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60.67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29.79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29.56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26.67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18.329999999999998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105.03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119.13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ROUND(E2883/L2883,2)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81.569999999999993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486.43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36.590000000000003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80.709999999999994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46.93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203.67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48.56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51.62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41.67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162.77000000000001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85.74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90.54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37.65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126.72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81.239999999999995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202.23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ROUND(E2947/L2947,2)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2.67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18.899999999999999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200.63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201.67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78.94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95.59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264.85000000000002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113.57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60.69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110.22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136.46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97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94.41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23.28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63.23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153.52000000000001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131.38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178.53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162.91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88.87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ROUND(E3011/L3011,2)</f>
        <v>233.9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242.28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146.44999999999999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80.459999999999994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234.67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50.69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162.71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67.7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84.86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45.54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88.59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76.790000000000006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96.53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84.11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74.069999999999993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70.67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2796.67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20.88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61.31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ROUND(E3075/L3075,2)</f>
        <v>92.14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23.67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415.78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18.670000000000002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67.78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16.670000000000002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53.53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56.79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140.54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272.58999999999997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70.11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57.89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61.18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139.24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29.05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ROUND(E3139/L3139,2)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31.21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82.61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80.16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28.41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37.590000000000003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58.1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31.62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65.099999999999994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33.03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77.34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46.77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100.22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41.67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71.489999999999995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24.46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36.67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49.21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ROUND(E3203/L3203,2)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41.67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63.11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50.16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127.81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66.59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45.88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106.8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77.22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97.38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34.92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131.13999999999999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88.74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58.69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69.569999999999993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23.87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81.13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57.63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46.43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60.48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65.58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177.09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29.17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72.760000000000005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251.74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74.819999999999993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67.650000000000006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41.24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ROUND(E3267/L3267,2)</f>
        <v>70.290000000000006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48.33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53.18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38.24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150.41999999999999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76.03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105.21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68.67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129.36000000000001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17.829999999999998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73.53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48.44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26.61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33.67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19.27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84.29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45.98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53.34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75.09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209.84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29.07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49.44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93.98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66.45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24.55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292.77999999999997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ROUND(E3331/L3331,2)</f>
        <v>44.92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72.290000000000006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27.78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81.03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136.85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177.62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109.08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78.209999999999994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114.13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91.67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69.819999999999993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71.67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35.799999999999997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147.33000000000001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83.43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302.31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44.14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866.67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61.39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29.67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45.48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30.78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421.11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85.21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76.650000000000006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65.17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133.33000000000001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51.22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184.68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69.819999999999993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41.67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ROUND(E3395/L3395,2)</f>
        <v>36.07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11.67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68.349999999999994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27.07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118.13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44.76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99.79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117.65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29.43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81.38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199.17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46.43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70.569999999999993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37.78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71.150000000000006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81.78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297.02999999999997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46.61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95.24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62.83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58.95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143.11000000000001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84.17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89.79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64.16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64.52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19.489999999999998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41.13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41.41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145.87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358.69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ROUND(E3459/L3459,2)</f>
        <v>50.98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45.04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17.53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57.92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29.71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64.47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50.4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41.67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35.770000000000003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88.74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148.47999999999999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39.6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164.62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51.88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40.29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64.91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125.38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78.260000000000005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74.209999999999994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47.85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34.409999999999997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40.24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60.29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35.950000000000003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70.760000000000005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66.510000000000005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96.67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66.959999999999994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ROUND(E3523/L3523,2)</f>
        <v>45.62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41.03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75.709999999999994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81.569999999999993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45.11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36.67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42.3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78.88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44.85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13.53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46.13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39.380000000000003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66.150000000000006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54.14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31.38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119.18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164.62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24.29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40.94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171.43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179.28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43.13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47.41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15.13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21.1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59.12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97.92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26.54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122.54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55.56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136.78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40.549999999999997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135.63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30.94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ROUND(E3587/L3587,2)</f>
        <v>176.09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151.97999999999999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22.61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82.26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68.06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72.709999999999994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77.19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77.73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40.78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39.380000000000003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49.06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30.67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66.67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56.07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47.03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47.67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88.24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80.72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56.84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18.329999999999998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68.42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60.13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ROUND(E3651/L3651,2)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57.78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44.24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60.91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31.58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81.290000000000006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20.079999999999998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53.44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39.869999999999997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64.38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66.13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62.17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45.35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59.17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57.26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74.12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62.67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40.630000000000003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33.67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38.590000000000003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155.94999999999999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15.15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80.87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53.85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30.93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67.959999999999994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110.87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ROUND(E3715/L3715,2)</f>
        <v>106.84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105.52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51.92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86.23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47.66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72.89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49.55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62.59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51.67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100.63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99.54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37.67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267.64999999999998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166.67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47.43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64.94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55.56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106.93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41.7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74.239999999999995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90.82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ROUND(E3779/L3779,2)</f>
        <v>48.54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70.03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64.459999999999994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145.41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50.56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41.67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53.29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78.52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48.34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79.540000000000006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70.459999999999994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62.63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139.56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64.290000000000006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120.12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21.67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ROUND(E3843/L3843,2)</f>
        <v>25.65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70.17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23.63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188.56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75.459999999999994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81.540000000000006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46.43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57.65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128.27000000000001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50.88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47.26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ROUND(E3907/L3907,2)</f>
        <v>24.71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63.13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61.67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83.14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142.86000000000001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33.67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10.17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32.36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137.08000000000001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53.13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47.91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ROUND(E3971/L3971,2)</f>
        <v>35.17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22.67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26.38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18.329999999999998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64.290000000000006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33.74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11.62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29.24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32.36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66.67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ROUND(E4035/L4035,2)</f>
        <v>65.34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166.06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32.979999999999997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86.62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129.16999999999999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163.33000000000001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64.17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179.12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44.31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29.17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10.67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ROUND(E4099/L4099,2)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16.670000000000002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45.79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15.67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K1:K4115" xr:uid="{510CB21F-73E6-4388-90F7-A4DEAD9EB000}">
    <filterColumn colId="0">
      <filters>
        <filter val="TRUE"/>
      </filters>
    </filterColumn>
  </autoFilter>
  <conditionalFormatting sqref="F1:F1048576"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23C5-3CFB-4425-998C-36AA0C60BDA3}">
  <dimension ref="A1:F14"/>
  <sheetViews>
    <sheetView workbookViewId="0">
      <selection activeCell="F21" sqref="F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57A4E-7AC9-483D-9C98-584C3FE912FE}">
  <dimension ref="A1:F47"/>
  <sheetViews>
    <sheetView workbookViewId="0">
      <selection activeCell="O23" sqref="O2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8307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B02B-D6D2-4ECF-A34D-80EE1564C008}">
  <dimension ref="A1:E12"/>
  <sheetViews>
    <sheetView zoomScaleNormal="100" workbookViewId="0">
      <selection activeCell="K24" sqref="K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8" t="s">
        <v>8373</v>
      </c>
      <c r="B1" t="s">
        <v>8402</v>
      </c>
    </row>
    <row r="2" spans="1:5" x14ac:dyDescent="0.35">
      <c r="A2" s="8" t="s">
        <v>8307</v>
      </c>
      <c r="B2" t="s">
        <v>8364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9" t="s">
        <v>8367</v>
      </c>
      <c r="B6" s="10"/>
      <c r="C6" s="10"/>
      <c r="D6" s="10">
        <v>1</v>
      </c>
      <c r="E6" s="10">
        <v>1</v>
      </c>
    </row>
    <row r="7" spans="1:5" x14ac:dyDescent="0.35">
      <c r="A7" s="9" t="s">
        <v>8368</v>
      </c>
      <c r="B7" s="10"/>
      <c r="C7" s="10"/>
      <c r="D7" s="10">
        <v>1</v>
      </c>
      <c r="E7" s="10">
        <v>1</v>
      </c>
    </row>
    <row r="8" spans="1:5" x14ac:dyDescent="0.35">
      <c r="A8" s="9" t="s">
        <v>8369</v>
      </c>
      <c r="B8" s="10"/>
      <c r="C8" s="10">
        <v>1</v>
      </c>
      <c r="D8" s="10">
        <v>1</v>
      </c>
      <c r="E8" s="10">
        <v>2</v>
      </c>
    </row>
    <row r="9" spans="1:5" x14ac:dyDescent="0.35">
      <c r="A9" s="9" t="s">
        <v>8370</v>
      </c>
      <c r="B9" s="10">
        <v>1</v>
      </c>
      <c r="C9" s="10">
        <v>2</v>
      </c>
      <c r="D9" s="10">
        <v>2</v>
      </c>
      <c r="E9" s="10">
        <v>5</v>
      </c>
    </row>
    <row r="10" spans="1:5" x14ac:dyDescent="0.35">
      <c r="A10" s="9" t="s">
        <v>8371</v>
      </c>
      <c r="B10" s="10"/>
      <c r="C10" s="10">
        <v>1</v>
      </c>
      <c r="D10" s="10">
        <v>1</v>
      </c>
      <c r="E10" s="10">
        <v>2</v>
      </c>
    </row>
    <row r="11" spans="1:5" x14ac:dyDescent="0.35">
      <c r="A11" s="9" t="s">
        <v>8372</v>
      </c>
      <c r="B11" s="10"/>
      <c r="C11" s="10"/>
      <c r="D11" s="10">
        <v>3</v>
      </c>
      <c r="E11" s="10">
        <v>3</v>
      </c>
    </row>
    <row r="12" spans="1:5" x14ac:dyDescent="0.35">
      <c r="A12" s="9" t="s">
        <v>8361</v>
      </c>
      <c r="B12" s="10">
        <v>1</v>
      </c>
      <c r="C12" s="10">
        <v>4</v>
      </c>
      <c r="D12" s="10">
        <v>9</v>
      </c>
      <c r="E12" s="10">
        <v>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13811-8385-4994-89DD-F513055602F5}">
  <dimension ref="A1:H13"/>
  <sheetViews>
    <sheetView workbookViewId="0">
      <selection activeCell="J20" sqref="J2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4" t="s">
        <v>8374</v>
      </c>
      <c r="B1" s="14" t="s">
        <v>8375</v>
      </c>
      <c r="C1" s="14" t="s">
        <v>8376</v>
      </c>
      <c r="D1" s="14" t="s">
        <v>8377</v>
      </c>
      <c r="E1" s="14" t="s">
        <v>8378</v>
      </c>
      <c r="F1" s="14" t="s">
        <v>8379</v>
      </c>
      <c r="G1" s="14" t="s">
        <v>8380</v>
      </c>
      <c r="H1" s="14" t="s">
        <v>8381</v>
      </c>
    </row>
    <row r="2" spans="1:8" x14ac:dyDescent="0.35">
      <c r="A2" t="s">
        <v>8382</v>
      </c>
      <c r="B2">
        <f>COUNTIFS(Goal, "&lt;1000", State, "=Successful")</f>
        <v>322</v>
      </c>
      <c r="C2">
        <f>COUNTIFS(Goal, "&lt;1000", State, "=Failed")</f>
        <v>113</v>
      </c>
      <c r="D2">
        <f>COUNTIFS(Goal, "&lt;1000", State, "=Canceled")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35">
      <c r="A3" t="s">
        <v>8383</v>
      </c>
      <c r="B3">
        <f>COUNTIFS(Goal, "&gt;999", Goal, "&lt;5000", State, "=Successful")</f>
        <v>932</v>
      </c>
      <c r="C3">
        <f>COUNTIFS(Goal, "&gt;999", Goal, "&lt;5000", State, "=Failed")</f>
        <v>420</v>
      </c>
      <c r="D3">
        <f>COUNTIFS(Goal, "&gt;999", Goal, "&lt;5000", State, "=Canceled")</f>
        <v>60</v>
      </c>
      <c r="E3">
        <f t="shared" ref="E3:E13" si="1">SUM(B3:D3)</f>
        <v>1412</v>
      </c>
      <c r="F3" s="13">
        <f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35">
      <c r="A4" s="12" t="s">
        <v>8385</v>
      </c>
      <c r="B4">
        <f>COUNTIFS(Goal, "&gt;4999", Goal, "&lt;10000", State, "=Successful")</f>
        <v>381</v>
      </c>
      <c r="C4">
        <f>COUNTIFS(Goal, "&gt;4999", Goal, "&lt;10000", State, "=Failed")</f>
        <v>283</v>
      </c>
      <c r="D4">
        <f>COUNTIFS(Goal, "&gt;4999", Goal, "&lt;10000", State, "=Canceled")</f>
        <v>52</v>
      </c>
      <c r="E4">
        <f t="shared" si="1"/>
        <v>716</v>
      </c>
      <c r="F4" s="13">
        <f t="shared" ref="F4:F13" si="2">B4/$E4</f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35">
      <c r="A5" t="s">
        <v>8384</v>
      </c>
      <c r="B5">
        <f>COUNTIFS(Goal, "&gt;9999", Goal, "&lt;15000", State, "=Successful")</f>
        <v>168</v>
      </c>
      <c r="C5">
        <f>COUNTIFS(Goal, "&gt;9999", Goal, "&lt;15000", State, "=Failed")</f>
        <v>144</v>
      </c>
      <c r="D5">
        <f>COUNTIFS(Goal, "&gt;9999", Goal, "&lt;15000", State, "=Canceled")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35">
      <c r="A6" t="s">
        <v>8386</v>
      </c>
      <c r="B6">
        <f>COUNTIFS(Goal, "&gt;14999", Goal, "&lt;20000", State, "=Successful")</f>
        <v>94</v>
      </c>
      <c r="C6">
        <f>COUNTIFS(Goal, "&gt;14999", Goal, "&lt;20000", State, "=Failed")</f>
        <v>90</v>
      </c>
      <c r="D6">
        <f>COUNTIFS(Goal, "&gt;14999", Goal, "&lt;20000", State, "=Canceled")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35">
      <c r="A7" t="s">
        <v>8387</v>
      </c>
      <c r="B7">
        <f>COUNTIFS(Goal, "&gt;19999", Goal, "&lt;25000", State, "=Successful")</f>
        <v>62</v>
      </c>
      <c r="C7">
        <f>COUNTIFS(Goal, "&gt;19999", Goal, "&lt;25000", State, "=Failed")</f>
        <v>72</v>
      </c>
      <c r="D7">
        <f>COUNTIFS(Goal, "&gt;19999", Goal, "&lt;25000", State, "=Canceled")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35">
      <c r="A8" t="s">
        <v>8388</v>
      </c>
      <c r="B8">
        <f>COUNTIFS(Goal, "&gt;24999", Goal, "&lt;30000", State, "=Successful")</f>
        <v>55</v>
      </c>
      <c r="C8">
        <f>COUNTIFS(Goal, "&gt;24999", Goal, "&lt;30000", State, "=failed")</f>
        <v>64</v>
      </c>
      <c r="D8">
        <f>COUNTIFS(Goal, "&gt;24999", Goal, "&lt;30000", State, "=canceled")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35">
      <c r="A9" t="s">
        <v>8389</v>
      </c>
      <c r="B9">
        <f>COUNTIFS(Goal, "&gt;29999", Goal, "&lt;35000", State, "=Successful")</f>
        <v>32</v>
      </c>
      <c r="C9">
        <f>COUNTIFS(Goal, "&gt;29999", Goal, "&lt;35000", State, "=failed")</f>
        <v>37</v>
      </c>
      <c r="D9">
        <f>COUNTIFS(Goal, "&gt;29999", Goal, "&lt;35000", State, "=canceled")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35">
      <c r="A10" t="s">
        <v>8390</v>
      </c>
      <c r="B10">
        <f>COUNTIFS(Goal, "&gt;34999", Goal, "&lt;40000", State, "=Successful")</f>
        <v>26</v>
      </c>
      <c r="C10">
        <f>COUNTIFS(Goal, "&gt;34999", Goal, "&lt;40000", State, "=failed")</f>
        <v>22</v>
      </c>
      <c r="D10">
        <f>COUNTIFS(Goal, "&gt;34999", Goal, "&lt;40000", State, "=canceled")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35">
      <c r="A11" t="s">
        <v>8391</v>
      </c>
      <c r="B11">
        <f>COUNTIFS(Goal, "&gt;39999", Goal, "&lt;45000", State, "=Successful")</f>
        <v>21</v>
      </c>
      <c r="C11">
        <f>COUNTIFS(Goal, "&gt;39999", Goal, "&lt;45000", State, "=failed")</f>
        <v>16</v>
      </c>
      <c r="D11">
        <f>COUNTIFS(Goal, "&gt;39999", Goal, "&lt;45000", State, "=canceled")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35">
      <c r="A12" t="s">
        <v>8392</v>
      </c>
      <c r="B12">
        <f>COUNTIFS(Goal, "&gt;44999", Goal, "&lt;50000", State, "=Successful")</f>
        <v>6</v>
      </c>
      <c r="C12">
        <f>COUNTIFS(Goal, "&gt;44999", Goal, "&lt;50000", State, "=failed")</f>
        <v>11</v>
      </c>
      <c r="D12">
        <f>COUNTIFS(Goal, "&gt;44999", Goal, "&lt;50000", State, "=canceled")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35">
      <c r="A13" t="s">
        <v>8393</v>
      </c>
      <c r="B13">
        <f>COUNTIFS(Goal, "&gt;49999", State, "=Successful")</f>
        <v>86</v>
      </c>
      <c r="C13">
        <f>COUNTIFS(Goal, "&gt;49999", State, "=failed")</f>
        <v>258</v>
      </c>
      <c r="D13">
        <f>COUNTIFS(Goal, "&gt;49999", State, "=canceled")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0FE70-AF35-45A6-99B8-21881984C46E}">
  <dimension ref="A1:L9"/>
  <sheetViews>
    <sheetView tabSelected="1" workbookViewId="0">
      <selection activeCell="D3" sqref="D3"/>
    </sheetView>
  </sheetViews>
  <sheetFormatPr defaultRowHeight="14.5" x14ac:dyDescent="0.35"/>
  <cols>
    <col min="1" max="1" width="28.54296875" style="9" customWidth="1"/>
    <col min="2" max="2" width="13.26953125" bestFit="1" customWidth="1"/>
    <col min="3" max="3" width="12.453125" customWidth="1"/>
  </cols>
  <sheetData>
    <row r="1" spans="1:12" x14ac:dyDescent="0.35">
      <c r="B1" s="15" t="s">
        <v>8394</v>
      </c>
      <c r="C1" s="15" t="s">
        <v>8395</v>
      </c>
    </row>
    <row r="2" spans="1:12" x14ac:dyDescent="0.35">
      <c r="A2" s="9" t="s">
        <v>8396</v>
      </c>
      <c r="B2" s="16">
        <f>ROUND(AVERAGEIF(State, "successful", 'Main Data'!$L:$L),2)</f>
        <v>194.43</v>
      </c>
      <c r="C2" s="16">
        <f>ROUND(AVERAGEIF(State, "failed", 'Main Data'!$L:$L),2)</f>
        <v>17.71</v>
      </c>
    </row>
    <row r="3" spans="1:12" x14ac:dyDescent="0.35">
      <c r="A3" s="9" t="s">
        <v>8397</v>
      </c>
      <c r="B3" s="16" cm="1">
        <f t="array" ref="B3">MEDIAN(IF(State="successful",'Main Data'!$L:$L))</f>
        <v>62</v>
      </c>
      <c r="C3" s="16" cm="1">
        <f t="array" ref="C3">MEDIAN(IF(State="failed",'Main Data'!$L:$L))</f>
        <v>4</v>
      </c>
    </row>
    <row r="4" spans="1:12" x14ac:dyDescent="0.35">
      <c r="A4" s="9" t="s">
        <v>8398</v>
      </c>
      <c r="B4" s="16" cm="1">
        <f t="array" ref="B4">MIN(IF(State="successful",'Main Data'!$L:$L))</f>
        <v>1</v>
      </c>
      <c r="C4" s="16" cm="1">
        <f t="array" ref="C4">MIN(IF(State="failed",'Main Data'!$L:$L))</f>
        <v>0</v>
      </c>
    </row>
    <row r="5" spans="1:12" x14ac:dyDescent="0.35">
      <c r="A5" s="9" t="s">
        <v>8399</v>
      </c>
      <c r="B5" s="16" cm="1">
        <f t="array" ref="B5">MAX(IF(State="successful",'Main Data'!$L:$L))</f>
        <v>26457</v>
      </c>
      <c r="C5" s="16" cm="1">
        <f t="array" ref="C5">MAX(IF(State="failed",'Main Data'!$L:$L))</f>
        <v>1293</v>
      </c>
    </row>
    <row r="6" spans="1:12" x14ac:dyDescent="0.35">
      <c r="A6" s="9" t="s">
        <v>8400</v>
      </c>
      <c r="B6" s="16" cm="1">
        <f t="array" ref="B6">ROUND(_xlfn.VAR.P(IF(State="successful",'Main Data'!$L:$L)),2)</f>
        <v>712840.99</v>
      </c>
      <c r="C6" s="16" cm="1">
        <f t="array" ref="C6">ROUND(_xlfn.VAR.P(IF(State="failed",'Main Data'!$L:$L)),2)</f>
        <v>3773.22</v>
      </c>
    </row>
    <row r="7" spans="1:12" x14ac:dyDescent="0.35">
      <c r="A7" s="9" t="s">
        <v>8401</v>
      </c>
      <c r="B7" s="16" cm="1">
        <f t="array" ref="B7">ROUND(_xlfn.STDEV.P(IF(State="successful",'Main Data'!$L:$L)),2)</f>
        <v>844.3</v>
      </c>
      <c r="C7" s="16" cm="1">
        <f t="array" ref="C7">ROUND(_xlfn.STDEV.P(IF(State="failed",'Main Data'!$L:$L)),2)</f>
        <v>61.43</v>
      </c>
    </row>
    <row r="8" spans="1:12" x14ac:dyDescent="0.35">
      <c r="L8" s="9"/>
    </row>
    <row r="9" spans="1:12" x14ac:dyDescent="0.35">
      <c r="L9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Main Data</vt:lpstr>
      <vt:lpstr>State Per Category</vt:lpstr>
      <vt:lpstr>State Per Sub-Category</vt:lpstr>
      <vt:lpstr>Outcomes Based on Launch Date</vt:lpstr>
      <vt:lpstr>BONUS</vt:lpstr>
      <vt:lpstr>BONUS PT.2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Damore</cp:lastModifiedBy>
  <dcterms:created xsi:type="dcterms:W3CDTF">2017-04-20T15:17:24Z</dcterms:created>
  <dcterms:modified xsi:type="dcterms:W3CDTF">2020-03-10T17:01:09Z</dcterms:modified>
</cp:coreProperties>
</file>